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3C62A5C1-BC2A-489A-827E-76809CDBB3C4}" xr6:coauthVersionLast="47" xr6:coauthVersionMax="47" xr10:uidLastSave="{00000000-0000-0000-0000-000000000000}"/>
  <workbookProtection workbookAlgorithmName="SHA-512" workbookHashValue="gCVJxvHCWL5F+5XTBk0rvX/d1jsg59PV0BriTCjdtxa4ADhUluBz/pGSm+fR/31C1PyvPwCjBPKcHauPGd1wTQ==" workbookSaltValue="mp71qztfS2N3YqM1oOWQ+A==" workbookSpinCount="100000" lockStructure="1"/>
  <bookViews>
    <workbookView xWindow="-14685" yWindow="-16320" windowWidth="29040" windowHeight="15720" tabRatio="703" firstSheet="1" activeTab="1" xr2:uid="{994EC860-6224-46C4-B304-9868EEFCD4CE}"/>
  </bookViews>
  <sheets>
    <sheet name="Tables" sheetId="2" state="veryHidden" r:id="rId1"/>
    <sheet name="License" sheetId="7" r:id="rId2"/>
    <sheet name="Form 2.2 - Design Attachment" sheetId="11" r:id="rId3"/>
    <sheet name="Form 2.3 - Add Basins Page 1 " sheetId="5" r:id="rId4"/>
  </sheets>
  <externalReferences>
    <externalReference r:id="rId5"/>
  </externalReferences>
  <definedNames>
    <definedName name="Logo">INDEX(Tables!$F$40:$F$45,MATCH(Tables!$F$14,Tables!$E$40:$E$45,0))</definedName>
    <definedName name="Material" localSheetId="2">[1]Tables!$D$2:$D$10</definedName>
    <definedName name="Material">Tables!$D$2:$D$10</definedName>
    <definedName name="_xlnm.Print_Area" localSheetId="2">'Form 2.2 - Design Attachment'!$A$1:$AK$112</definedName>
    <definedName name="_xlnm.Print_Area" localSheetId="3">'Form 2.3 - Add Basins Page 1 '!$A$1:$AK$54</definedName>
    <definedName name="_xlnm.Print_Titles" localSheetId="2">'Form 2.2 - Design Attachment'!$1:$4</definedName>
    <definedName name="_xlnm.Print_Titles" localSheetId="3">'Form 2.3 - Add Basins Page 1 '!$1:$4</definedName>
    <definedName name="Shape" localSheetId="2">[1]Tables!$F$2:$F$11</definedName>
    <definedName name="Shape">Tables!$F$2:$F$11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25" i="11" l="1"/>
  <c r="U56" i="11"/>
  <c r="K56" i="11"/>
  <c r="AN54" i="11"/>
  <c r="AM54" i="11"/>
  <c r="Z54" i="11"/>
  <c r="P54" i="11"/>
  <c r="AE54" i="11" s="1"/>
  <c r="AN52" i="11"/>
  <c r="AM52" i="11"/>
  <c r="Z52" i="11"/>
  <c r="P52" i="11"/>
  <c r="AE52" i="11" s="1"/>
  <c r="AN19" i="11"/>
  <c r="AN17" i="11"/>
  <c r="AN15" i="11"/>
  <c r="AN13" i="11"/>
  <c r="AN11" i="11"/>
  <c r="AM20" i="5"/>
  <c r="AM18" i="5"/>
  <c r="AM16" i="5"/>
  <c r="AM14" i="5"/>
  <c r="AM12" i="5"/>
  <c r="Z69" i="11" l="1"/>
  <c r="AS22" i="11"/>
  <c r="AN69" i="11"/>
  <c r="B112" i="11"/>
  <c r="AE63" i="11"/>
  <c r="D63" i="11"/>
  <c r="B62" i="11"/>
  <c r="U79" i="11"/>
  <c r="K79" i="11"/>
  <c r="AM78" i="11"/>
  <c r="AN77" i="11"/>
  <c r="AM77" i="11"/>
  <c r="Z77" i="11"/>
  <c r="P77" i="11"/>
  <c r="AE77" i="11" s="1"/>
  <c r="AM76" i="11"/>
  <c r="AN75" i="11"/>
  <c r="AM75" i="11"/>
  <c r="Z75" i="11"/>
  <c r="P75" i="11"/>
  <c r="AE75" i="11" s="1"/>
  <c r="AM74" i="11"/>
  <c r="AN73" i="11"/>
  <c r="AM73" i="11"/>
  <c r="Z73" i="11"/>
  <c r="P73" i="11"/>
  <c r="AE73" i="11" s="1"/>
  <c r="AM72" i="11"/>
  <c r="AN71" i="11"/>
  <c r="AM71" i="11"/>
  <c r="Z71" i="11"/>
  <c r="P71" i="11"/>
  <c r="AE71" i="11" s="1"/>
  <c r="AM70" i="11"/>
  <c r="AM69" i="11"/>
  <c r="P69" i="11"/>
  <c r="AE69" i="11" s="1"/>
  <c r="AM68" i="11"/>
  <c r="AN50" i="11"/>
  <c r="AM50" i="11"/>
  <c r="Z50" i="11"/>
  <c r="P50" i="11"/>
  <c r="AE50" i="11" s="1"/>
  <c r="AN48" i="11"/>
  <c r="AM48" i="11"/>
  <c r="Z48" i="11"/>
  <c r="P48" i="11"/>
  <c r="AE48" i="11" s="1"/>
  <c r="AN46" i="11"/>
  <c r="AM46" i="11"/>
  <c r="Z46" i="11"/>
  <c r="P46" i="11"/>
  <c r="AE46" i="11" s="1"/>
  <c r="AN44" i="11"/>
  <c r="AM44" i="11"/>
  <c r="Z44" i="11"/>
  <c r="P44" i="11"/>
  <c r="AE44" i="11" s="1"/>
  <c r="AN42" i="11"/>
  <c r="AM42" i="11"/>
  <c r="Z42" i="11"/>
  <c r="P42" i="11"/>
  <c r="AE42" i="11" s="1"/>
  <c r="AN40" i="11"/>
  <c r="AM40" i="11"/>
  <c r="Z40" i="11"/>
  <c r="P40" i="11"/>
  <c r="AE40" i="11" s="1"/>
  <c r="AN38" i="11"/>
  <c r="AM38" i="11"/>
  <c r="Z38" i="11"/>
  <c r="P38" i="11"/>
  <c r="AE38" i="11" s="1"/>
  <c r="AN36" i="11"/>
  <c r="AM36" i="11"/>
  <c r="Z36" i="11"/>
  <c r="P36" i="11"/>
  <c r="AE36" i="11" s="1"/>
  <c r="AN34" i="11"/>
  <c r="AM34" i="11"/>
  <c r="Z34" i="11"/>
  <c r="P34" i="11"/>
  <c r="AP29" i="11"/>
  <c r="AO29" i="11"/>
  <c r="AN29" i="11"/>
  <c r="AM29" i="11"/>
  <c r="AP27" i="11"/>
  <c r="AO27" i="11"/>
  <c r="AN27" i="11"/>
  <c r="AM27" i="11"/>
  <c r="AP25" i="11"/>
  <c r="AO25" i="11"/>
  <c r="AM93" i="11" s="1"/>
  <c r="AN25" i="11"/>
  <c r="AM25" i="11"/>
  <c r="AP21" i="11"/>
  <c r="AO21" i="11"/>
  <c r="AN21" i="11"/>
  <c r="AM21" i="11"/>
  <c r="AM11" i="11"/>
  <c r="AR6" i="11"/>
  <c r="AP6" i="11"/>
  <c r="AR5" i="11"/>
  <c r="AP5" i="11"/>
  <c r="AR4" i="11"/>
  <c r="AP4" i="11"/>
  <c r="AR3" i="11"/>
  <c r="AP3" i="11"/>
  <c r="AR2" i="11"/>
  <c r="AP2" i="11"/>
  <c r="P56" i="11" l="1"/>
  <c r="P57" i="11" s="1"/>
  <c r="Z56" i="11"/>
  <c r="Z57" i="11" s="1"/>
  <c r="AQ21" i="11"/>
  <c r="AH36" i="11" s="1"/>
  <c r="S52" i="11"/>
  <c r="N52" i="11"/>
  <c r="AH50" i="11"/>
  <c r="AH56" i="11"/>
  <c r="U80" i="11"/>
  <c r="K82" i="11"/>
  <c r="Z79" i="11"/>
  <c r="Z80" i="11" s="1"/>
  <c r="P79" i="11"/>
  <c r="P80" i="11" s="1"/>
  <c r="AE34" i="11"/>
  <c r="U57" i="11"/>
  <c r="AR7" i="11"/>
  <c r="AP7" i="11"/>
  <c r="Q1" i="11" s="1"/>
  <c r="BF1" i="11" s="1"/>
  <c r="U82" i="11"/>
  <c r="AE79" i="11"/>
  <c r="N71" i="11"/>
  <c r="X50" i="11"/>
  <c r="AC38" i="11"/>
  <c r="N44" i="11"/>
  <c r="N38" i="11"/>
  <c r="N75" i="11"/>
  <c r="AC79" i="11"/>
  <c r="X48" i="11"/>
  <c r="N56" i="11"/>
  <c r="AC77" i="11"/>
  <c r="N40" i="11"/>
  <c r="S42" i="11"/>
  <c r="N48" i="11"/>
  <c r="S36" i="11"/>
  <c r="N79" i="11"/>
  <c r="S73" i="11"/>
  <c r="X56" i="11"/>
  <c r="N73" i="11"/>
  <c r="AC46" i="11"/>
  <c r="S56" i="11"/>
  <c r="AC40" i="11"/>
  <c r="S46" i="11"/>
  <c r="S40" i="11"/>
  <c r="X34" i="11"/>
  <c r="X77" i="11"/>
  <c r="S77" i="11"/>
  <c r="N77" i="11"/>
  <c r="AC56" i="11" l="1"/>
  <c r="N36" i="11"/>
  <c r="AC34" i="11"/>
  <c r="X52" i="11"/>
  <c r="X73" i="11"/>
  <c r="AC52" i="11"/>
  <c r="N42" i="11"/>
  <c r="AH52" i="11"/>
  <c r="AC73" i="11"/>
  <c r="N54" i="11"/>
  <c r="X36" i="11"/>
  <c r="S54" i="11"/>
  <c r="S79" i="11"/>
  <c r="X54" i="11"/>
  <c r="X42" i="11"/>
  <c r="AC54" i="11"/>
  <c r="AC36" i="11"/>
  <c r="AH54" i="11"/>
  <c r="S71" i="11"/>
  <c r="AC48" i="11"/>
  <c r="X71" i="11"/>
  <c r="X69" i="11"/>
  <c r="S48" i="11"/>
  <c r="AC44" i="11"/>
  <c r="N69" i="11"/>
  <c r="X79" i="11"/>
  <c r="AC42" i="11"/>
  <c r="N82" i="11"/>
  <c r="S69" i="11"/>
  <c r="AH34" i="11"/>
  <c r="S38" i="11"/>
  <c r="AH79" i="11"/>
  <c r="X38" i="11"/>
  <c r="AH77" i="11"/>
  <c r="S44" i="11"/>
  <c r="AH75" i="11"/>
  <c r="X44" i="11"/>
  <c r="AH73" i="11"/>
  <c r="S50" i="11"/>
  <c r="AH71" i="11"/>
  <c r="AC71" i="11"/>
  <c r="AH69" i="11"/>
  <c r="AC69" i="11"/>
  <c r="S75" i="11"/>
  <c r="AH46" i="11"/>
  <c r="X75" i="11"/>
  <c r="AC82" i="11"/>
  <c r="N50" i="11"/>
  <c r="AH44" i="11"/>
  <c r="AC75" i="11"/>
  <c r="AH82" i="11"/>
  <c r="AH42" i="11"/>
  <c r="AH48" i="11"/>
  <c r="N34" i="11"/>
  <c r="AH40" i="11"/>
  <c r="AC50" i="11"/>
  <c r="X82" i="11"/>
  <c r="X40" i="11"/>
  <c r="AH38" i="11"/>
  <c r="S34" i="11"/>
  <c r="X46" i="11"/>
  <c r="N46" i="11"/>
  <c r="S82" i="11"/>
  <c r="AE56" i="11"/>
  <c r="AE57" i="11" s="1"/>
  <c r="P82" i="11"/>
  <c r="P83" i="11" s="1"/>
  <c r="U83" i="11"/>
  <c r="Z82" i="11"/>
  <c r="Z83" i="11" s="1"/>
  <c r="AE80" i="11"/>
  <c r="AE82" i="11" l="1"/>
  <c r="AE83" i="11" s="1"/>
  <c r="B54" i="5"/>
  <c r="J46" i="5"/>
  <c r="J45" i="5"/>
  <c r="J44" i="5"/>
  <c r="J43" i="5"/>
  <c r="J42" i="5"/>
  <c r="J41" i="5"/>
  <c r="AF36" i="5"/>
  <c r="AB36" i="5"/>
  <c r="X36" i="5"/>
  <c r="T36" i="5"/>
  <c r="P36" i="5"/>
  <c r="L36" i="5"/>
  <c r="J33" i="5"/>
  <c r="J32" i="5"/>
  <c r="J31" i="5"/>
  <c r="J30" i="5"/>
  <c r="J29" i="5"/>
  <c r="J28" i="5"/>
  <c r="AF23" i="5"/>
  <c r="AB23" i="5"/>
  <c r="X23" i="5"/>
  <c r="T23" i="5"/>
  <c r="P23" i="5"/>
  <c r="L23" i="5"/>
  <c r="AM22" i="5"/>
  <c r="AL22" i="5"/>
  <c r="AN10" i="5"/>
  <c r="AM10" i="5"/>
  <c r="AL10" i="5"/>
  <c r="AL12" i="5"/>
  <c r="AQ6" i="5"/>
  <c r="AO6" i="5"/>
  <c r="AQ5" i="5"/>
  <c r="AO5" i="5"/>
  <c r="AQ4" i="5"/>
  <c r="AO4" i="5"/>
  <c r="AQ3" i="5"/>
  <c r="AO3" i="5"/>
  <c r="AQ2" i="5"/>
  <c r="AO2" i="5"/>
  <c r="A2" i="7"/>
  <c r="O1" i="7"/>
  <c r="F39" i="2"/>
  <c r="F7" i="7" s="1"/>
  <c r="F38" i="2"/>
  <c r="J21" i="2" s="1"/>
  <c r="F37" i="2"/>
  <c r="F34" i="2"/>
  <c r="F33" i="2"/>
  <c r="F32" i="2"/>
  <c r="F31" i="2"/>
  <c r="F30" i="2"/>
  <c r="F29" i="2"/>
  <c r="F28" i="2"/>
  <c r="E28" i="2"/>
  <c r="F27" i="2"/>
  <c r="F26" i="2"/>
  <c r="J18" i="2" s="1"/>
  <c r="F25" i="2"/>
  <c r="J13" i="2" s="1"/>
  <c r="F24" i="2"/>
  <c r="K23" i="2"/>
  <c r="F23" i="2"/>
  <c r="F22" i="7" s="1"/>
  <c r="R22" i="2"/>
  <c r="Q22" i="2"/>
  <c r="P22" i="2"/>
  <c r="O22" i="2"/>
  <c r="N22" i="2"/>
  <c r="M22" i="2"/>
  <c r="K22" i="2"/>
  <c r="F22" i="2"/>
  <c r="K21" i="2"/>
  <c r="F21" i="2"/>
  <c r="K20" i="2"/>
  <c r="F20" i="2"/>
  <c r="R19" i="2"/>
  <c r="Q19" i="2"/>
  <c r="P19" i="2"/>
  <c r="O19" i="2"/>
  <c r="N19" i="2"/>
  <c r="M19" i="2"/>
  <c r="K19" i="2"/>
  <c r="F19" i="2"/>
  <c r="F44" i="5" s="1"/>
  <c r="K18" i="2"/>
  <c r="F18" i="2"/>
  <c r="F30" i="5" s="1"/>
  <c r="K17" i="2"/>
  <c r="F17" i="2"/>
  <c r="K16" i="2"/>
  <c r="F16" i="2"/>
  <c r="F28" i="5" s="1"/>
  <c r="K15" i="2"/>
  <c r="F15" i="2"/>
  <c r="G15" i="2" s="1"/>
  <c r="K14" i="2"/>
  <c r="K13" i="2"/>
  <c r="K12" i="2"/>
  <c r="K11" i="2"/>
  <c r="K10" i="2"/>
  <c r="K9" i="2"/>
  <c r="K8" i="2"/>
  <c r="K7" i="2"/>
  <c r="B7" i="2"/>
  <c r="K6" i="2"/>
  <c r="K5" i="2"/>
  <c r="K4" i="2"/>
  <c r="K3" i="2"/>
  <c r="K2" i="2"/>
  <c r="B2" i="2"/>
  <c r="B6" i="2" s="1"/>
  <c r="O2" i="7" s="1"/>
  <c r="F41" i="5" l="1"/>
  <c r="J6" i="2"/>
  <c r="F43" i="5"/>
  <c r="F31" i="5"/>
  <c r="F35" i="2"/>
  <c r="F36" i="2" s="1"/>
  <c r="F13" i="7"/>
  <c r="F29" i="7"/>
  <c r="F29" i="5"/>
  <c r="F32" i="7"/>
  <c r="F32" i="5"/>
  <c r="F42" i="5"/>
  <c r="F33" i="5"/>
  <c r="F45" i="5"/>
  <c r="F46" i="5"/>
  <c r="B8" i="2"/>
  <c r="F3" i="7" s="1"/>
  <c r="A3" i="7" s="1"/>
  <c r="AQ7" i="5"/>
  <c r="AO7" i="5"/>
  <c r="P1" i="5" s="1"/>
  <c r="AO10" i="5"/>
  <c r="I38" i="5" s="1"/>
  <c r="I25"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5" authorId="0" shapeId="0" xr:uid="{603CD5DE-DC8D-414B-93B9-DA379030D2EA}">
      <text>
        <r>
          <rPr>
            <b/>
            <sz val="9"/>
            <color indexed="81"/>
            <rFont val="Tahoma"/>
            <family val="2"/>
          </rPr>
          <t xml:space="preserve">Note:  </t>
        </r>
        <r>
          <rPr>
            <sz val="9"/>
            <color indexed="81"/>
            <rFont val="Tahoma"/>
            <family val="2"/>
          </rPr>
          <t>Enter the parcel number with no spaces as shown below: 1234567891234.560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6" authorId="0" shapeId="0" xr:uid="{8C2D5898-5A31-4F8A-AC8F-446D11066E00}">
      <text>
        <r>
          <rPr>
            <b/>
            <sz val="9"/>
            <color indexed="81"/>
            <rFont val="Tahoma"/>
            <family val="2"/>
          </rPr>
          <t xml:space="preserve">Note:  </t>
        </r>
        <r>
          <rPr>
            <sz val="9"/>
            <color indexed="81"/>
            <rFont val="Tahoma"/>
            <family val="2"/>
          </rPr>
          <t xml:space="preserve">Enter the parcel number with no spaces as shown below: 1234567891234.560
</t>
        </r>
      </text>
    </comment>
  </commentList>
</comments>
</file>

<file path=xl/sharedStrings.xml><?xml version="1.0" encoding="utf-8"?>
<sst xmlns="http://schemas.openxmlformats.org/spreadsheetml/2006/main" count="422" uniqueCount="286">
  <si>
    <t>Development Information</t>
  </si>
  <si>
    <t>Pre-Development</t>
  </si>
  <si>
    <t>Curve Number:</t>
  </si>
  <si>
    <t>(WQ)</t>
  </si>
  <si>
    <t>(2-yr)</t>
  </si>
  <si>
    <t>(5-yr)</t>
  </si>
  <si>
    <t>(10-yr)</t>
  </si>
  <si>
    <t>(25-yr)</t>
  </si>
  <si>
    <t>(100-yr)</t>
  </si>
  <si>
    <t>Post-Development</t>
  </si>
  <si>
    <t>Material</t>
  </si>
  <si>
    <t>Concrete</t>
  </si>
  <si>
    <t>Metal</t>
  </si>
  <si>
    <t>HDPP</t>
  </si>
  <si>
    <t>PVC</t>
  </si>
  <si>
    <t>HDPE</t>
  </si>
  <si>
    <t>Other</t>
  </si>
  <si>
    <t>Shape</t>
  </si>
  <si>
    <t>Basin ID:</t>
  </si>
  <si>
    <t>Time of Concentration (min):</t>
  </si>
  <si>
    <t>Type</t>
  </si>
  <si>
    <t>Riprap</t>
  </si>
  <si>
    <t>Earthen</t>
  </si>
  <si>
    <t>Geotextile</t>
  </si>
  <si>
    <t>Total Post Q &gt; Pre Q</t>
  </si>
  <si>
    <t>Post Total not completed</t>
  </si>
  <si>
    <t>Design Response</t>
  </si>
  <si>
    <t>Emergency Spillway Section not completed</t>
  </si>
  <si>
    <t>Latitude and/or Longitude not provided</t>
  </si>
  <si>
    <t xml:space="preserve"> O&amp;M Agreement</t>
  </si>
  <si>
    <t xml:space="preserve">Name: </t>
  </si>
  <si>
    <t xml:space="preserve">Address: </t>
  </si>
  <si>
    <t>No</t>
  </si>
  <si>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</si>
  <si>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Montgomery</t>
  </si>
  <si>
    <t>Hoover</t>
  </si>
  <si>
    <t>Prattville</t>
  </si>
  <si>
    <t>Mobile</t>
  </si>
  <si>
    <t xml:space="preserve">Select City: </t>
  </si>
  <si>
    <t xml:space="preserve">Date: </t>
  </si>
  <si>
    <t xml:space="preserve">BMP ID: </t>
  </si>
  <si>
    <t>Yes</t>
  </si>
  <si>
    <t>Round</t>
  </si>
  <si>
    <t>Rectangle</t>
  </si>
  <si>
    <t>Square</t>
  </si>
  <si>
    <t>Trapezoid</t>
  </si>
  <si>
    <t>Jefferson</t>
  </si>
  <si>
    <t>City</t>
  </si>
  <si>
    <t>County</t>
  </si>
  <si>
    <t>Type:</t>
  </si>
  <si>
    <t>1 July 2018</t>
  </si>
  <si>
    <t>1 October 2015</t>
  </si>
  <si>
    <t>1 October 2020</t>
  </si>
  <si>
    <t>1 February 2020</t>
  </si>
  <si>
    <t>Effective Date:</t>
  </si>
  <si>
    <t>Entity Type:</t>
  </si>
  <si>
    <t>Maintenance Agreement:</t>
  </si>
  <si>
    <t xml:space="preserve"> Covenant</t>
  </si>
  <si>
    <t>Current Logo</t>
  </si>
  <si>
    <t>Freeboard  &lt;  1.0 ft</t>
  </si>
  <si>
    <t xml:space="preserve">Select: </t>
  </si>
  <si>
    <t xml:space="preserve">Orifice: </t>
  </si>
  <si>
    <t xml:space="preserve">None: </t>
  </si>
  <si>
    <t>Pre Total not completed</t>
  </si>
  <si>
    <t>V-notch</t>
  </si>
  <si>
    <t>Permit Type:</t>
  </si>
  <si>
    <t>Max Velocity:</t>
  </si>
  <si>
    <t>Lookup Table</t>
  </si>
  <si>
    <t>Engineering or Building No.</t>
  </si>
  <si>
    <t xml:space="preserve">Weir: </t>
  </si>
  <si>
    <t>ENG No.</t>
  </si>
  <si>
    <t>Inspe Report Due:</t>
  </si>
  <si>
    <t>30 Septbember</t>
  </si>
  <si>
    <t>1 September</t>
  </si>
  <si>
    <t>Arch</t>
  </si>
  <si>
    <t>Elliptical</t>
  </si>
  <si>
    <t>(50-yr)</t>
  </si>
  <si>
    <t>Storms:</t>
  </si>
  <si>
    <t>Insp Report Due:</t>
  </si>
  <si>
    <t>2, 5, 10, 25, 50, and 100</t>
  </si>
  <si>
    <r>
      <t>Total Post Q is &lt; -0.50 ft</t>
    </r>
    <r>
      <rPr>
        <vertAlign val="superscript"/>
        <sz val="10.8"/>
        <color theme="1"/>
        <rFont val="Calibri"/>
        <family val="2"/>
      </rPr>
      <t>3</t>
    </r>
    <r>
      <rPr>
        <sz val="11"/>
        <color theme="1"/>
        <rFont val="Calibri"/>
        <family val="2"/>
        <scheme val="minor"/>
      </rPr>
      <t>/s of Pre Q</t>
    </r>
  </si>
  <si>
    <t xml:space="preserve"> ac</t>
  </si>
  <si>
    <t xml:space="preserve"> sq-ft</t>
  </si>
  <si>
    <r>
      <t>Peak Discharge (ft</t>
    </r>
    <r>
      <rPr>
        <vertAlign val="superscript"/>
        <sz val="8"/>
        <color theme="1"/>
        <rFont val="Calibri"/>
        <family val="2"/>
      </rPr>
      <t>3</t>
    </r>
    <r>
      <rPr>
        <sz val="10"/>
        <color theme="1"/>
        <rFont val="Calibri"/>
        <family val="2"/>
        <scheme val="minor"/>
      </rPr>
      <t>/s)</t>
    </r>
  </si>
  <si>
    <t xml:space="preserve">Hydrologic Soil Group: </t>
  </si>
  <si>
    <t xml:space="preserve"> A</t>
  </si>
  <si>
    <t xml:space="preserve"> B</t>
  </si>
  <si>
    <t xml:space="preserve"> C</t>
  </si>
  <si>
    <t xml:space="preserve"> D</t>
  </si>
  <si>
    <t>Known Flooding Req:</t>
  </si>
  <si>
    <t>No. Storms:</t>
  </si>
  <si>
    <t>31 December</t>
  </si>
  <si>
    <t>All required photographs are not provided</t>
  </si>
  <si>
    <t>T-shape</t>
  </si>
  <si>
    <t>Known Flooding Storm:</t>
  </si>
  <si>
    <t>Adj Property Req:</t>
  </si>
  <si>
    <t>Adj Property Storm:</t>
  </si>
  <si>
    <t xml:space="preserve">Select Area Units: </t>
  </si>
  <si>
    <t>Units Check</t>
  </si>
  <si>
    <t xml:space="preserve">Drainage Area </t>
  </si>
  <si>
    <t>Latitude and/or Longitude has been entered as text.  Change to a number.</t>
  </si>
  <si>
    <t xml:space="preserve">Parcel No.: </t>
  </si>
  <si>
    <t>Parcel No. has not been provided</t>
  </si>
  <si>
    <t>Agreement Type:</t>
  </si>
  <si>
    <t>Known Flooding Storm &lt;:</t>
  </si>
  <si>
    <t>Adj Property Storm&lt;:</t>
  </si>
  <si>
    <t>5, 10, 25, 50, and 100</t>
  </si>
  <si>
    <t>10, 25, 50, and 100</t>
  </si>
  <si>
    <t>25, 50, and 100</t>
  </si>
  <si>
    <t>50 and 100</t>
  </si>
  <si>
    <t>Known or Adj Storm</t>
  </si>
  <si>
    <t>Requirements</t>
  </si>
  <si>
    <t>Known or Adj Design Storm:</t>
  </si>
  <si>
    <t>Known or Adj Design Storm&lt;:</t>
  </si>
  <si>
    <t>Question</t>
  </si>
  <si>
    <t>Outlet Protection</t>
  </si>
  <si>
    <t>Riprap apron</t>
  </si>
  <si>
    <t>Concrete flume with baffles</t>
  </si>
  <si>
    <t>Concrete box with chambers</t>
  </si>
  <si>
    <t>Concrete box with baffles</t>
  </si>
  <si>
    <t>Pre-manufactured product</t>
  </si>
  <si>
    <t>Max Stage for 2, 5, 10, 25 and/or 50-year storm  &gt; emergency spillway crest elevation</t>
  </si>
  <si>
    <t>Outlet protection section not completed</t>
  </si>
  <si>
    <t>Baldwin County</t>
  </si>
  <si>
    <t xml:space="preserve">Effective Date: </t>
  </si>
  <si>
    <t xml:space="preserve">IMPORTANT - READ BEFORE USE: </t>
  </si>
  <si>
    <t xml:space="preserve">Acceptance (required): </t>
  </si>
  <si>
    <t>I ACCEPT</t>
  </si>
  <si>
    <t>I DO NOT ACCEPT</t>
  </si>
  <si>
    <t>Acceptance Table</t>
  </si>
  <si>
    <t>Selection Required</t>
  </si>
  <si>
    <t xml:space="preserve">Administrator Code (Hidden): </t>
  </si>
  <si>
    <t xml:space="preserve">Current Status: </t>
  </si>
  <si>
    <t xml:space="preserve">Gate OK: </t>
  </si>
  <si>
    <t xml:space="preserve">Accepted Flag: </t>
  </si>
  <si>
    <t xml:space="preserve">Admin Unlock Code: </t>
  </si>
  <si>
    <t>Workbook Lock Configuration</t>
  </si>
  <si>
    <t>Version Date:</t>
  </si>
  <si>
    <t xml:space="preserve">Active Months: </t>
  </si>
  <si>
    <t xml:space="preserve">Lock Date: </t>
  </si>
  <si>
    <t xml:space="preserve">Expiration Date: </t>
  </si>
  <si>
    <t xml:space="preserve">Override LockD and Time: </t>
  </si>
  <si>
    <t xml:space="preserve">Computed Lock Date and Time: </t>
  </si>
  <si>
    <t>Slope:</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</si>
  <si>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</si>
  <si>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</si>
  <si>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</si>
  <si>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</si>
  <si>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</si>
  <si>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</si>
  <si>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</si>
  <si>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</si>
  <si>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</si>
  <si>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</si>
  <si>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</si>
  <si>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</si>
  <si>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</si>
  <si>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</si>
  <si>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</si>
  <si>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</si>
  <si>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</si>
  <si>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</si>
  <si>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</si>
  <si>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</si>
  <si>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</si>
  <si>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</si>
  <si>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</si>
  <si>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As-Built does not match Design, provide a reason in the Comments section</t>
  </si>
  <si>
    <t xml:space="preserve"> O&amp;M Plan</t>
  </si>
  <si>
    <t>a Release Agreement</t>
  </si>
  <si>
    <t>Drainage Rights</t>
  </si>
  <si>
    <t>a Spillage Agreement</t>
  </si>
  <si>
    <t>END USER LICENSE AGREEMENT (EULA)</t>
  </si>
  <si>
    <t>authorized, do not use the Tool.</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</si>
  <si>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</si>
  <si>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Limited License</t>
  </si>
  <si>
    <t>agreed in writing.</t>
  </si>
  <si>
    <t>notices, logos, or watermarks; (c) bypass or disable protections; or (d) redistribute the Tool to third parties (other than submitting filled</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</si>
  <si>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</si>
  <si>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</si>
  <si>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</si>
  <si>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</si>
  <si>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</si>
  <si>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</si>
  <si>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</si>
  <si>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</si>
  <si>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</si>
  <si>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</si>
  <si>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</si>
  <si>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</si>
  <si>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</si>
  <si>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</si>
  <si>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</si>
  <si>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</si>
  <si>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</si>
  <si>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</si>
  <si>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the permitted purpose.</t>
  </si>
  <si>
    <t>purpose, and non-infringement.)  To the  Maximum extent permitted by law, Licensor will not be liable for indirect, incidental,</t>
  </si>
  <si>
    <t>Select Design Form Type (Only select one):</t>
  </si>
  <si>
    <t>Form 2A.3 - Detention Pond</t>
  </si>
  <si>
    <t>Form 2B.3 - Retention Pond</t>
  </si>
  <si>
    <t>Form 2C.3 - Underground Detention</t>
  </si>
  <si>
    <t>Form 2D.3 - Bioretention Area</t>
  </si>
  <si>
    <t>Form 2F.3 Permeable Pavement</t>
  </si>
  <si>
    <t>Page 1 of 1</t>
  </si>
  <si>
    <t>Page 2 of 2</t>
  </si>
  <si>
    <t xml:space="preserve">Signature: </t>
  </si>
  <si>
    <t xml:space="preserve">Phone: </t>
  </si>
  <si>
    <t xml:space="preserve">Email: </t>
  </si>
  <si>
    <t xml:space="preserve">Zip Code: </t>
  </si>
  <si>
    <t xml:space="preserve">State: </t>
  </si>
  <si>
    <t xml:space="preserve">City: </t>
  </si>
  <si>
    <t xml:space="preserve">Seal: </t>
  </si>
  <si>
    <t xml:space="preserve">Company: </t>
  </si>
  <si>
    <t>Professional Engineer Certification</t>
  </si>
  <si>
    <t>Page 1 of 2</t>
  </si>
  <si>
    <t>%</t>
  </si>
  <si>
    <t xml:space="preserve"> No</t>
  </si>
  <si>
    <t xml:space="preserve"> Yes</t>
  </si>
  <si>
    <t>Imp. Area</t>
  </si>
  <si>
    <t>Area</t>
  </si>
  <si>
    <t>e.</t>
  </si>
  <si>
    <t>d.</t>
  </si>
  <si>
    <t>c.</t>
  </si>
  <si>
    <t>b.</t>
  </si>
  <si>
    <t>a.</t>
  </si>
  <si>
    <t xml:space="preserve"> Master Plan Drawing</t>
  </si>
  <si>
    <t>Proposed roads</t>
  </si>
  <si>
    <t xml:space="preserve">Longitude: </t>
  </si>
  <si>
    <t>Property boundaries</t>
  </si>
  <si>
    <t xml:space="preserve">Latitude: </t>
  </si>
  <si>
    <t>The Master Plan shall include the following information:</t>
  </si>
  <si>
    <t>Supplemental Instructions</t>
  </si>
  <si>
    <t>Development Information:</t>
  </si>
  <si>
    <t>Form 2A.2 - Detention Pond</t>
  </si>
  <si>
    <t>Form 2B.2 - Retention Pond</t>
  </si>
  <si>
    <t>Form 2C.2 - Underground Detention</t>
  </si>
  <si>
    <t>Form 2D.2 - Bioretention Area</t>
  </si>
  <si>
    <t>Form 2F.2 Permeable Pavement</t>
  </si>
  <si>
    <t>Will the stormwater management BMP be maintained by an association?</t>
  </si>
  <si>
    <t>Is the stormwater management BMP located on a separate lot?</t>
  </si>
  <si>
    <t>By affixing my professional seal and signature on this form, I hereby certify that the proposed stormwater management BMP</t>
  </si>
  <si>
    <t>1/8 acre or less</t>
  </si>
  <si>
    <t>1/4 acre</t>
  </si>
  <si>
    <t>1/3 acre</t>
  </si>
  <si>
    <t>1/2 acre</t>
  </si>
  <si>
    <t>1 acre</t>
  </si>
  <si>
    <t>2 acre</t>
  </si>
  <si>
    <t>% Imp.</t>
  </si>
  <si>
    <t>Commercial</t>
  </si>
  <si>
    <t>Industrial</t>
  </si>
  <si>
    <t>Location of stormwater management BMP</t>
  </si>
  <si>
    <t xml:space="preserve">Attachment: </t>
  </si>
  <si>
    <t xml:space="preserve">Contact Name: </t>
  </si>
  <si>
    <t xml:space="preserve">Title: </t>
  </si>
  <si>
    <t>---------- Proposed ----------</t>
  </si>
  <si>
    <t>---------- Remaining ----------</t>
  </si>
  <si>
    <t xml:space="preserve">Urban Totals: </t>
  </si>
  <si>
    <t xml:space="preserve">Residential Totals: </t>
  </si>
  <si>
    <t>Constructed</t>
  </si>
  <si>
    <t xml:space="preserve"> Drains to BMP?</t>
  </si>
  <si>
    <t xml:space="preserve">BMP Totals: </t>
  </si>
  <si>
    <t>Will all lots be a member of the association?</t>
  </si>
  <si>
    <t>Drainage area boundary for the stormwater management BMP</t>
  </si>
  <si>
    <t xml:space="preserve">Conceptual residential lot layout showing the boundaries and area for each category (i.e. 1/8 acre, 1/4 acre, </t>
  </si>
  <si>
    <t>1/3 acre, 1/2 acre, 1 acre, 2, acre, etc.)</t>
  </si>
  <si>
    <t>Conceptual commercial lot layout showing the boundaries and area</t>
  </si>
  <si>
    <t>If an area or a portion of the area has already been constructed, enter the amount of area that has been constructed</t>
  </si>
  <si>
    <t>in the appropriate column</t>
  </si>
  <si>
    <t>Existing structures, roads, contours, etc.</t>
  </si>
  <si>
    <t xml:space="preserve"> 2A.1 Detention Pond</t>
  </si>
  <si>
    <t xml:space="preserve"> 2B.1 Retention Pond</t>
  </si>
  <si>
    <t xml:space="preserve"> 2C.1 Underground Detention</t>
  </si>
  <si>
    <t xml:space="preserve"> 2D.1 Bioretention Area</t>
  </si>
  <si>
    <t xml:space="preserve"> 2F.1 Permeable Pavement</t>
  </si>
  <si>
    <t>Units</t>
  </si>
  <si>
    <t>Questions</t>
  </si>
  <si>
    <t>Residential Areas</t>
  </si>
  <si>
    <t>Lot Size</t>
  </si>
  <si>
    <t>Urban Areas</t>
  </si>
  <si>
    <t xml:space="preserve">Company / HOA: </t>
  </si>
  <si>
    <t>Owner / HOA Information</t>
  </si>
  <si>
    <t>is designed to accommodate the future development included in this attachment.</t>
  </si>
  <si>
    <t>Comments</t>
  </si>
  <si>
    <t>% Imp. Area for residential and urban areas were obtained Table 2-2a of the Urban Hydrology for Small Watersheds</t>
  </si>
  <si>
    <t>TR-55 user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</si>
</sst>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
    <numFmt numFmtId="165" formatCode="[$-409]d\ mmmm\ yyyy;@"/>
    <numFmt numFmtId="166" formatCode="[$-409]dd\ mmmm\ yyyy;@"/>
    <numFmt numFmtId="167" formatCode="[$-409]dd\-mmm\-yy;@"/>
    <numFmt numFmtId="168" formatCode="00\ 00\ 00\ 0\ 000\ 000.000"/>
    <numFmt numFmtId="169" formatCode="yyyy\-mm\-dd\ hh:mm"/>
    <numFmt numFmtId="170" formatCode="[$-409]dd\ mmmm\ yyyy\ h:mm\ AM/PM;@"/>
    <numFmt numFmtId="171" formatCode="0\)"/>
    <numFmt numFmtId="172" formatCode="0.0"/>
    <numFmt numFmtId="173" formatCode="[$-409]d\-mmm\-yy;@"/>
    <numFmt numFmtId="174" formatCode="[&lt;=9999999]###\-####;\(###\)\ ###\-####"/>
    <numFmt numFmtId="175" formatCode="#,##0.000"/>
    <numFmt numFmtId="176" formatCode="00000"/>
    <numFmt numFmtId="177" formatCode="0.000000"/>
  </numFmts>
  <fonts count="22"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vertAlign val="superscript"/>
      <sz val="8"/>
      <color theme="1"/>
      <name val="Calibri"/>
      <family val="2"/>
    </font>
    <font>
      <b/>
      <sz val="12"/>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sz val="9"/>
      <color theme="1"/>
      <name val="Calibri"/>
      <family val="2"/>
      <scheme val="minor"/>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b/>
      <sz val="11"/>
      <color theme="0"/>
      <name val="Calibri"/>
      <family val="2"/>
      <scheme val="minor"/>
    </font>
    <font>
      <b/>
      <sz val="12"/>
      <color theme="1"/>
      <name val="Calibri"/>
      <family val="2"/>
    </font>
    <font>
      <sz val="11"/>
      <color theme="1"/>
      <name val="Calibri"/>
      <family val="2"/>
      <scheme val="minor"/>
    </font>
    <font>
      <u/>
      <sz val="11"/>
      <color theme="10"/>
      <name val="Calibri"/>
      <family val="2"/>
      <scheme val="minor"/>
    </font>
    <font>
      <u/>
      <sz val="10"/>
      <color theme="10"/>
      <name val="Calibri"/>
      <family val="2"/>
      <scheme val="minor"/>
    </font>
    <font>
      <sz val="14"/>
      <color theme="1"/>
      <name val="Calibri"/>
      <family val="2"/>
      <scheme val="minor"/>
    </font>
    <font>
      <sz val="11"/>
      <color theme="10"/>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3">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style="thin">
        <color indexed="64"/>
      </left>
      <right/>
      <top style="thin">
        <color indexed="64"/>
      </top>
      <bottom style="thin">
        <color indexed="64"/>
      </bottom>
      <diagonal/>
    </border>
  </borders>
  <cellStyleXfs count="3">
    <xf numFmtId="0" fontId="0" fillId="0" borderId="0"/>
    <xf numFmtId="9" fontId="17" fillId="0" borderId="0" applyFont="0" applyFill="0" applyBorder="0" applyAlignment="0" applyProtection="0"/>
    <xf numFmtId="0" fontId="18" fillId="0" borderId="0" applyNumberFormat="0" applyFill="0" applyBorder="0" applyAlignment="0" applyProtection="0"/>
  </cellStyleXfs>
  <cellXfs count="152">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indent="1"/>
    </xf>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center" vertical="center"/>
    </xf>
    <xf numFmtId="1" fontId="3" fillId="0" borderId="0" xfId="0" applyNumberFormat="1" applyFont="1" applyAlignment="1">
      <alignment vertical="center"/>
    </xf>
    <xf numFmtId="4" fontId="3" fillId="0" borderId="0" xfId="0" applyNumberFormat="1" applyFont="1" applyAlignment="1">
      <alignment vertical="center"/>
    </xf>
    <xf numFmtId="0" fontId="6" fillId="0" borderId="0" xfId="0" applyFont="1" applyAlignment="1">
      <alignment vertical="center"/>
    </xf>
    <xf numFmtId="0" fontId="2" fillId="0" borderId="0" xfId="0" applyFont="1" applyAlignment="1">
      <alignment horizontal="right" vertical="center" wrapText="1"/>
    </xf>
    <xf numFmtId="2" fontId="3" fillId="0" borderId="0" xfId="0" applyNumberFormat="1" applyFont="1" applyAlignment="1">
      <alignment vertical="center"/>
    </xf>
    <xf numFmtId="0" fontId="2" fillId="0" borderId="0" xfId="0" applyFont="1" applyAlignment="1">
      <alignment vertical="center" wrapText="1"/>
    </xf>
    <xf numFmtId="0" fontId="0" fillId="0" borderId="0" xfId="0" applyAlignment="1">
      <alignment vertical="center"/>
    </xf>
    <xf numFmtId="164" fontId="0" fillId="0" borderId="0" xfId="0" applyNumberFormat="1" applyAlignment="1">
      <alignment horizontal="center" vertical="center"/>
    </xf>
    <xf numFmtId="0" fontId="0" fillId="0" borderId="0" xfId="0" applyAlignment="1">
      <alignment horizontal="left" vertical="center"/>
    </xf>
    <xf numFmtId="0" fontId="3" fillId="0" borderId="0" xfId="0" applyFont="1" applyAlignment="1">
      <alignment horizontal="left" vertical="center"/>
    </xf>
    <xf numFmtId="0" fontId="3" fillId="2" borderId="0" xfId="0" applyFont="1" applyFill="1" applyAlignment="1">
      <alignment vertical="center"/>
    </xf>
    <xf numFmtId="0" fontId="3" fillId="2" borderId="0" xfId="0" applyFont="1" applyFill="1" applyAlignment="1">
      <alignment horizontal="right" vertical="center"/>
    </xf>
    <xf numFmtId="0" fontId="0" fillId="0" borderId="0" xfId="0" applyAlignment="1">
      <alignment horizontal="right" vertical="center"/>
    </xf>
    <xf numFmtId="164" fontId="9" fillId="0" borderId="0" xfId="0" applyNumberFormat="1" applyFont="1" applyAlignment="1">
      <alignment horizontal="center" vertical="center"/>
    </xf>
    <xf numFmtId="0" fontId="9" fillId="0" borderId="0" xfId="0" applyFont="1" applyAlignment="1">
      <alignment vertical="center"/>
    </xf>
    <xf numFmtId="164" fontId="8" fillId="0" borderId="0" xfId="0" applyNumberFormat="1" applyFont="1" applyAlignment="1">
      <alignment vertical="center"/>
    </xf>
    <xf numFmtId="165" fontId="10" fillId="0" borderId="0" xfId="0" applyNumberFormat="1" applyFont="1" applyAlignment="1">
      <alignment horizontal="left"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4" fontId="3" fillId="2" borderId="0" xfId="0" applyNumberFormat="1" applyFont="1" applyFill="1" applyAlignment="1">
      <alignment vertical="center"/>
    </xf>
    <xf numFmtId="0" fontId="9" fillId="0" borderId="0" xfId="0" applyFont="1" applyAlignment="1">
      <alignment horizontal="center" vertical="center"/>
    </xf>
    <xf numFmtId="2" fontId="0" fillId="0" borderId="0" xfId="0" applyNumberFormat="1" applyAlignment="1">
      <alignment horizontal="center" vertical="center"/>
    </xf>
    <xf numFmtId="0" fontId="1" fillId="2" borderId="0" xfId="0" applyFont="1" applyFill="1" applyAlignment="1">
      <alignment horizontal="center" vertical="center"/>
    </xf>
    <xf numFmtId="0" fontId="0" fillId="0" borderId="0" xfId="0"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0" fillId="0" borderId="0" xfId="0" quotePrefix="1" applyAlignment="1">
      <alignment vertical="center"/>
    </xf>
    <xf numFmtId="166" fontId="0" fillId="0" borderId="0" xfId="0" quotePrefix="1" applyNumberFormat="1" applyAlignment="1">
      <alignment horizontal="center" vertical="center"/>
    </xf>
    <xf numFmtId="165" fontId="0" fillId="3" borderId="4" xfId="0" applyNumberFormat="1" applyFill="1" applyBorder="1" applyAlignment="1">
      <alignment horizontal="center" vertical="center"/>
    </xf>
    <xf numFmtId="0" fontId="0" fillId="3" borderId="4" xfId="0" applyFill="1" applyBorder="1" applyAlignment="1">
      <alignment horizontal="center" vertical="center"/>
    </xf>
    <xf numFmtId="165" fontId="0" fillId="0" borderId="0" xfId="0" applyNumberFormat="1" applyAlignment="1">
      <alignment horizontal="center" vertical="center"/>
    </xf>
    <xf numFmtId="165" fontId="0" fillId="0" borderId="0" xfId="0" quotePrefix="1" applyNumberFormat="1" applyAlignment="1">
      <alignment horizontal="center" vertical="center"/>
    </xf>
    <xf numFmtId="2" fontId="0" fillId="0" borderId="0" xfId="0" applyNumberFormat="1" applyAlignment="1">
      <alignment vertical="center"/>
    </xf>
    <xf numFmtId="166" fontId="0" fillId="0" borderId="0" xfId="0" applyNumberFormat="1" applyAlignment="1">
      <alignment horizontal="center" vertical="center"/>
    </xf>
    <xf numFmtId="1" fontId="0" fillId="0" borderId="0" xfId="0" applyNumberFormat="1" applyAlignment="1">
      <alignment horizontal="center" vertical="center"/>
    </xf>
    <xf numFmtId="0" fontId="14" fillId="0" borderId="0" xfId="0" applyFont="1" applyAlignment="1">
      <alignment horizontal="right" vertical="center"/>
    </xf>
    <xf numFmtId="0" fontId="0" fillId="0" borderId="0" xfId="0" applyAlignment="1">
      <alignment horizontal="right" vertical="center" indent="1"/>
    </xf>
    <xf numFmtId="0" fontId="0" fillId="0" borderId="0" xfId="0" applyAlignment="1">
      <alignment horizontal="right"/>
    </xf>
    <xf numFmtId="169" fontId="0" fillId="0" borderId="0" xfId="0" applyNumberFormat="1"/>
    <xf numFmtId="14" fontId="0" fillId="0" borderId="0" xfId="0" applyNumberFormat="1"/>
    <xf numFmtId="0" fontId="6" fillId="0" borderId="0" xfId="0" applyFont="1" applyAlignment="1">
      <alignment horizontal="right" vertical="center"/>
    </xf>
    <xf numFmtId="0" fontId="9" fillId="2" borderId="0" xfId="0" applyFont="1" applyFill="1" applyAlignment="1">
      <alignment vertical="center"/>
    </xf>
    <xf numFmtId="0" fontId="9" fillId="2" borderId="3" xfId="0" applyFont="1" applyFill="1" applyBorder="1" applyAlignment="1">
      <alignment horizontal="center" vertical="center"/>
    </xf>
    <xf numFmtId="164" fontId="9" fillId="2" borderId="0" xfId="0" applyNumberFormat="1" applyFont="1" applyFill="1" applyAlignment="1">
      <alignment horizontal="center" vertical="center"/>
    </xf>
    <xf numFmtId="0" fontId="15" fillId="4" borderId="5" xfId="0" applyFont="1" applyFill="1" applyBorder="1" applyAlignment="1">
      <alignment horizontal="center" vertical="center"/>
    </xf>
    <xf numFmtId="0" fontId="0" fillId="0" borderId="8" xfId="0" applyBorder="1" applyAlignment="1">
      <alignment horizontal="right" vertical="center"/>
    </xf>
    <xf numFmtId="170" fontId="0" fillId="0" borderId="9" xfId="0" applyNumberFormat="1" applyBorder="1" applyAlignment="1">
      <alignment horizontal="center"/>
    </xf>
    <xf numFmtId="0" fontId="0" fillId="0" borderId="10" xfId="0" applyBorder="1" applyAlignment="1">
      <alignment horizontal="right" vertical="center"/>
    </xf>
    <xf numFmtId="0" fontId="0" fillId="5" borderId="11" xfId="0" applyFill="1" applyBorder="1" applyAlignment="1">
      <alignment horizontal="center"/>
    </xf>
    <xf numFmtId="170" fontId="0" fillId="0" borderId="12" xfId="0" applyNumberFormat="1" applyBorder="1" applyAlignment="1">
      <alignment horizontal="center"/>
    </xf>
    <xf numFmtId="0" fontId="0" fillId="0" borderId="12" xfId="0" applyBorder="1" applyAlignment="1">
      <alignment horizontal="center"/>
    </xf>
    <xf numFmtId="0" fontId="0" fillId="0" borderId="13" xfId="0" applyBorder="1" applyAlignment="1">
      <alignment horizontal="right" vertical="center"/>
    </xf>
    <xf numFmtId="0" fontId="0" fillId="0" borderId="14" xfId="0" applyBorder="1" applyAlignment="1">
      <alignment horizontal="center"/>
    </xf>
    <xf numFmtId="170" fontId="0" fillId="5" borderId="4" xfId="0" applyNumberFormat="1" applyFill="1" applyBorder="1" applyAlignment="1">
      <alignment horizontal="center"/>
    </xf>
    <xf numFmtId="0" fontId="6" fillId="0" borderId="3" xfId="0" applyFont="1" applyBorder="1" applyAlignment="1" applyProtection="1">
      <alignment horizontal="center" vertical="center"/>
      <protection locked="0"/>
    </xf>
    <xf numFmtId="171" fontId="6" fillId="0" borderId="0" xfId="0" applyNumberFormat="1" applyFont="1" applyAlignment="1">
      <alignment horizontal="right" vertical="center"/>
    </xf>
    <xf numFmtId="171" fontId="6" fillId="0" borderId="0" xfId="0" applyNumberFormat="1" applyFont="1" applyAlignment="1">
      <alignment vertical="center"/>
    </xf>
    <xf numFmtId="0" fontId="6" fillId="2" borderId="0" xfId="0" applyFont="1" applyFill="1" applyAlignment="1">
      <alignment horizontal="center" vertical="center"/>
    </xf>
    <xf numFmtId="0" fontId="6" fillId="2" borderId="0" xfId="0" applyFont="1" applyFill="1" applyAlignment="1">
      <alignment horizontal="right" vertical="center"/>
    </xf>
    <xf numFmtId="172" fontId="0" fillId="0" borderId="0" xfId="0" applyNumberFormat="1" applyAlignment="1">
      <alignment horizontal="center" vertical="center"/>
    </xf>
    <xf numFmtId="0" fontId="0" fillId="0" borderId="3" xfId="0" applyBorder="1" applyAlignment="1" applyProtection="1">
      <alignment horizontal="center" vertical="center"/>
      <protection locked="0"/>
    </xf>
    <xf numFmtId="0" fontId="2" fillId="0" borderId="0" xfId="0" applyFont="1" applyAlignment="1">
      <alignment vertical="center"/>
    </xf>
    <xf numFmtId="0" fontId="3" fillId="2" borderId="3" xfId="0" applyFont="1" applyFill="1" applyBorder="1" applyAlignment="1">
      <alignment vertical="center"/>
    </xf>
    <xf numFmtId="164" fontId="0" fillId="0" borderId="0" xfId="0" applyNumberFormat="1" applyAlignment="1">
      <alignment vertical="center"/>
    </xf>
    <xf numFmtId="0" fontId="3" fillId="0" borderId="0" xfId="0" applyFont="1" applyAlignment="1">
      <alignment vertical="top" wrapText="1"/>
    </xf>
    <xf numFmtId="0" fontId="3" fillId="0" borderId="1" xfId="0" applyFont="1" applyBorder="1" applyAlignment="1">
      <alignment vertical="center"/>
    </xf>
    <xf numFmtId="0" fontId="3" fillId="0" borderId="15" xfId="0" applyFont="1" applyBorder="1" applyAlignment="1">
      <alignment vertical="center"/>
    </xf>
    <xf numFmtId="0" fontId="18" fillId="0" borderId="0" xfId="2" applyBorder="1" applyAlignment="1" applyProtection="1">
      <alignment vertical="center"/>
    </xf>
    <xf numFmtId="0" fontId="3" fillId="0" borderId="15" xfId="0" applyFont="1" applyBorder="1" applyAlignment="1">
      <alignment horizontal="right" vertical="center"/>
    </xf>
    <xf numFmtId="0" fontId="3" fillId="0" borderId="0" xfId="0" applyFont="1" applyAlignment="1">
      <alignment vertical="top"/>
    </xf>
    <xf numFmtId="164" fontId="3" fillId="0" borderId="0" xfId="0" applyNumberFormat="1" applyFont="1" applyAlignment="1">
      <alignment horizontal="center" vertical="center"/>
    </xf>
    <xf numFmtId="164" fontId="3" fillId="0" borderId="0" xfId="0" applyNumberFormat="1" applyFont="1" applyAlignment="1">
      <alignment vertical="center"/>
    </xf>
    <xf numFmtId="175" fontId="3" fillId="0" borderId="0" xfId="0" applyNumberFormat="1" applyFont="1" applyAlignment="1">
      <alignment horizontal="right" vertical="center"/>
    </xf>
    <xf numFmtId="164" fontId="3" fillId="0" borderId="0" xfId="0" applyNumberFormat="1" applyFont="1" applyAlignment="1">
      <alignment horizontal="left" vertical="center"/>
    </xf>
    <xf numFmtId="164" fontId="3" fillId="0" borderId="0" xfId="0" quotePrefix="1" applyNumberFormat="1" applyFont="1" applyAlignment="1">
      <alignment horizontal="center" vertical="center"/>
    </xf>
    <xf numFmtId="0" fontId="20" fillId="0" borderId="0" xfId="0" applyFont="1" applyAlignment="1">
      <alignment horizontal="center" vertical="center"/>
    </xf>
    <xf numFmtId="0" fontId="3" fillId="0" borderId="18" xfId="0" applyFont="1" applyBorder="1" applyAlignment="1">
      <alignment vertical="center"/>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xf>
    <xf numFmtId="3" fontId="3" fillId="0" borderId="0" xfId="0" applyNumberFormat="1" applyFont="1" applyAlignment="1">
      <alignment vertical="center"/>
    </xf>
    <xf numFmtId="176" fontId="3" fillId="0" borderId="0" xfId="0" applyNumberFormat="1" applyFont="1" applyAlignment="1">
      <alignment horizontal="center" vertical="center"/>
    </xf>
    <xf numFmtId="0" fontId="18" fillId="0" borderId="0" xfId="2" applyBorder="1" applyAlignment="1" applyProtection="1">
      <alignment horizontal="left" vertical="center"/>
    </xf>
    <xf numFmtId="0" fontId="3" fillId="0" borderId="0" xfId="0" applyFont="1" applyAlignment="1">
      <alignment vertical="center" textRotation="90"/>
    </xf>
    <xf numFmtId="0" fontId="3" fillId="0" borderId="0" xfId="0" applyFont="1" applyAlignment="1">
      <alignment textRotation="90"/>
    </xf>
    <xf numFmtId="0" fontId="4" fillId="0" borderId="0" xfId="0" applyFont="1" applyAlignment="1">
      <alignment horizontal="right" vertical="center"/>
    </xf>
    <xf numFmtId="0" fontId="3" fillId="2" borderId="22" xfId="0" applyFont="1" applyFill="1" applyBorder="1" applyAlignment="1">
      <alignment horizontal="center" vertical="center"/>
    </xf>
    <xf numFmtId="0" fontId="4" fillId="0" borderId="0" xfId="0" applyFont="1" applyAlignment="1">
      <alignment textRotation="90"/>
    </xf>
    <xf numFmtId="3" fontId="3" fillId="0" borderId="0" xfId="0" applyNumberFormat="1" applyFont="1" applyAlignment="1">
      <alignment horizontal="left" vertical="center"/>
    </xf>
    <xf numFmtId="166" fontId="9" fillId="0" borderId="0" xfId="0" applyNumberFormat="1" applyFont="1" applyAlignment="1">
      <alignment vertical="center"/>
    </xf>
    <xf numFmtId="0" fontId="14" fillId="0" borderId="0" xfId="0" applyFont="1" applyAlignment="1">
      <alignment horizontal="left" vertical="center" wrapText="1"/>
    </xf>
    <xf numFmtId="166" fontId="9" fillId="0" borderId="0" xfId="0" applyNumberFormat="1" applyFont="1" applyAlignment="1">
      <alignment vertical="center"/>
    </xf>
    <xf numFmtId="0" fontId="15" fillId="4" borderId="6" xfId="0" applyFont="1" applyFill="1" applyBorder="1" applyAlignment="1">
      <alignment horizontal="center" vertical="center"/>
    </xf>
    <xf numFmtId="0" fontId="15" fillId="4" borderId="7" xfId="0" applyFont="1" applyFill="1" applyBorder="1" applyAlignment="1">
      <alignment horizontal="center" vertical="center"/>
    </xf>
    <xf numFmtId="168" fontId="3" fillId="0" borderId="1" xfId="0" applyNumberFormat="1" applyFont="1" applyBorder="1" applyAlignment="1" applyProtection="1">
      <alignment horizontal="center" vertical="center"/>
      <protection locked="0"/>
    </xf>
    <xf numFmtId="0" fontId="2" fillId="0" borderId="0" xfId="0" applyFont="1" applyAlignment="1">
      <alignment horizontal="center" vertical="center" wrapText="1"/>
    </xf>
    <xf numFmtId="167" fontId="3" fillId="0" borderId="1" xfId="0" applyNumberFormat="1" applyFont="1" applyBorder="1" applyAlignment="1" applyProtection="1">
      <alignment horizontal="center" vertical="center"/>
      <protection locked="0"/>
    </xf>
    <xf numFmtId="0" fontId="4" fillId="0" borderId="0" xfId="0" applyFont="1" applyAlignment="1">
      <alignment horizontal="center" textRotation="90"/>
    </xf>
    <xf numFmtId="0" fontId="4" fillId="0" borderId="1" xfId="0" applyFont="1" applyBorder="1" applyAlignment="1">
      <alignment horizontal="center" textRotation="90"/>
    </xf>
    <xf numFmtId="175" fontId="3" fillId="0" borderId="1" xfId="0" applyNumberFormat="1" applyFont="1" applyBorder="1" applyAlignment="1">
      <alignment horizontal="right" vertical="center"/>
    </xf>
    <xf numFmtId="0" fontId="3" fillId="0" borderId="0" xfId="0" applyFont="1" applyAlignment="1">
      <alignment horizontal="left" vertical="center"/>
    </xf>
    <xf numFmtId="175" fontId="3" fillId="0" borderId="1" xfId="0" applyNumberFormat="1" applyFont="1" applyBorder="1" applyAlignment="1" applyProtection="1">
      <alignment horizontal="right" vertical="center"/>
      <protection locked="0"/>
    </xf>
    <xf numFmtId="0" fontId="4" fillId="0" borderId="0" xfId="0" applyFont="1" applyAlignment="1">
      <alignment horizontal="center" vertical="center"/>
    </xf>
    <xf numFmtId="2" fontId="3" fillId="0" borderId="2" xfId="1" applyNumberFormat="1" applyFont="1" applyBorder="1" applyAlignment="1">
      <alignment horizontal="right" vertical="center"/>
    </xf>
    <xf numFmtId="0" fontId="8" fillId="0" borderId="0" xfId="0" applyFont="1" applyAlignment="1">
      <alignment horizontal="left" vertical="center"/>
    </xf>
    <xf numFmtId="0" fontId="3" fillId="0" borderId="1" xfId="0" applyFont="1" applyBorder="1" applyAlignment="1" applyProtection="1">
      <alignment horizontal="left" vertical="center"/>
      <protection locked="0"/>
    </xf>
    <xf numFmtId="173"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2" fontId="3" fillId="0" borderId="1" xfId="1" applyNumberFormat="1" applyFont="1" applyBorder="1" applyAlignment="1" applyProtection="1">
      <alignment horizontal="right" vertical="center"/>
    </xf>
    <xf numFmtId="9" fontId="3" fillId="0" borderId="0" xfId="1" applyFont="1" applyAlignment="1">
      <alignment horizontal="center" vertical="center"/>
    </xf>
    <xf numFmtId="0" fontId="3" fillId="0" borderId="1" xfId="0" applyFont="1" applyBorder="1" applyAlignment="1" applyProtection="1">
      <alignment horizontal="center" vertical="center"/>
      <protection locked="0"/>
    </xf>
    <xf numFmtId="0" fontId="4" fillId="0" borderId="0" xfId="0" quotePrefix="1" applyFont="1" applyAlignment="1">
      <alignment horizontal="center" vertical="center"/>
    </xf>
    <xf numFmtId="177" fontId="3" fillId="0" borderId="1" xfId="0" applyNumberFormat="1" applyFont="1" applyBorder="1" applyAlignment="1" applyProtection="1">
      <alignment vertical="center"/>
      <protection locked="0"/>
    </xf>
    <xf numFmtId="4" fontId="3" fillId="0" borderId="1" xfId="0" applyNumberFormat="1" applyFont="1" applyBorder="1" applyAlignment="1">
      <alignment horizontal="right" vertical="center"/>
    </xf>
    <xf numFmtId="0" fontId="4" fillId="0" borderId="0" xfId="0" applyFont="1" applyAlignment="1">
      <alignment vertical="center"/>
    </xf>
    <xf numFmtId="3" fontId="3" fillId="0" borderId="1" xfId="0" applyNumberFormat="1" applyFont="1" applyBorder="1" applyAlignment="1" applyProtection="1">
      <alignment horizontal="left" vertical="center"/>
      <protection locked="0"/>
    </xf>
    <xf numFmtId="9" fontId="3" fillId="0" borderId="1" xfId="1" applyFont="1" applyBorder="1" applyAlignment="1" applyProtection="1">
      <alignment horizontal="center" vertical="center"/>
      <protection locked="0"/>
    </xf>
    <xf numFmtId="0" fontId="3" fillId="0" borderId="1" xfId="0" applyFont="1" applyBorder="1" applyAlignment="1" applyProtection="1">
      <alignment horizontal="left" vertical="center"/>
      <protection hidden="1"/>
    </xf>
    <xf numFmtId="0" fontId="4" fillId="0" borderId="0" xfId="0" applyFont="1" applyAlignment="1">
      <alignment horizontal="left" vertical="center"/>
    </xf>
    <xf numFmtId="3" fontId="3" fillId="0" borderId="1" xfId="0" applyNumberFormat="1" applyFont="1" applyBorder="1" applyAlignment="1" applyProtection="1">
      <alignment vertical="center"/>
      <protection locked="0"/>
    </xf>
    <xf numFmtId="0" fontId="3" fillId="0" borderId="21"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20"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3" fillId="0" borderId="17"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174" fontId="3" fillId="0" borderId="1" xfId="0" applyNumberFormat="1" applyFont="1" applyBorder="1" applyAlignment="1" applyProtection="1">
      <alignment horizontal="center" vertical="center"/>
      <protection locked="0"/>
    </xf>
    <xf numFmtId="174" fontId="3" fillId="0" borderId="2" xfId="0" applyNumberFormat="1" applyFont="1" applyBorder="1" applyAlignment="1" applyProtection="1">
      <alignment horizontal="left" vertical="center"/>
      <protection locked="0"/>
    </xf>
    <xf numFmtId="165" fontId="10" fillId="0" borderId="0" xfId="0" applyNumberFormat="1" applyFont="1" applyAlignment="1">
      <alignment horizontal="left" vertical="center"/>
    </xf>
    <xf numFmtId="0" fontId="3" fillId="0" borderId="0" xfId="0" applyFont="1" applyAlignment="1">
      <alignment horizontal="center" vertical="center"/>
    </xf>
    <xf numFmtId="0" fontId="19" fillId="0" borderId="1" xfId="2" applyFont="1" applyBorder="1" applyAlignment="1" applyProtection="1">
      <alignment horizontal="left" vertical="center"/>
      <protection locked="0"/>
    </xf>
    <xf numFmtId="0" fontId="21" fillId="0" borderId="2" xfId="2" applyFont="1" applyBorder="1" applyAlignment="1" applyProtection="1">
      <alignment horizontal="left" vertical="center"/>
      <protection locked="0"/>
    </xf>
    <xf numFmtId="0" fontId="21" fillId="0" borderId="1" xfId="2" applyFont="1" applyBorder="1" applyAlignment="1" applyProtection="1">
      <alignment horizontal="left" vertical="center"/>
      <protection locked="0"/>
    </xf>
    <xf numFmtId="174" fontId="3" fillId="0" borderId="1" xfId="0" applyNumberFormat="1" applyFont="1" applyBorder="1" applyAlignment="1" applyProtection="1">
      <alignment horizontal="left" vertical="center"/>
      <protection locked="0"/>
    </xf>
    <xf numFmtId="173" fontId="3" fillId="0" borderId="1" xfId="0" applyNumberFormat="1" applyFont="1" applyBorder="1" applyAlignment="1" applyProtection="1">
      <alignment horizontal="center" vertical="center"/>
      <protection hidden="1"/>
    </xf>
    <xf numFmtId="2" fontId="3" fillId="0" borderId="0" xfId="0" applyNumberFormat="1" applyFont="1" applyAlignment="1">
      <alignment horizontal="right" vertical="center"/>
    </xf>
    <xf numFmtId="2" fontId="3" fillId="0" borderId="2" xfId="0" applyNumberFormat="1" applyFont="1" applyBorder="1" applyAlignment="1" applyProtection="1">
      <alignment horizontal="right" vertical="center"/>
      <protection locked="0"/>
    </xf>
    <xf numFmtId="4"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center" vertical="center" textRotation="90" wrapText="1"/>
    </xf>
    <xf numFmtId="0" fontId="3" fillId="0" borderId="0" xfId="0" applyFont="1" applyAlignment="1">
      <alignment horizontal="right" vertical="center"/>
    </xf>
  </cellXfs>
  <cellStyles count="3">
    <cellStyle name="Hyperlink" xfId="2" builtinId="8"/>
    <cellStyle name="Normal" xfId="0" builtinId="0"/>
    <cellStyle name="Percent" xfId="1" builtinId="5"/>
  </cellStyles>
  <dxfs count="176">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rgb="FFFFFF99"/>
        </patternFill>
      </fill>
    </dxf>
    <dxf>
      <fill>
        <patternFill>
          <bgColor theme="9" tint="0.59996337778862885"/>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numFmt numFmtId="3" formatCode="#,##0"/>
    </dxf>
    <dxf>
      <numFmt numFmtId="178" formatCode="#,##0.0000"/>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rgb="FFFFFF9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numFmt numFmtId="3" formatCode="#,##0"/>
    </dxf>
    <dxf>
      <numFmt numFmtId="179" formatCode="0.0000"/>
    </dxf>
    <dxf>
      <numFmt numFmtId="3" formatCode="#,##0"/>
    </dxf>
    <dxf>
      <numFmt numFmtId="179" formatCode="0.0000"/>
    </dxf>
    <dxf>
      <fill>
        <patternFill>
          <bgColor theme="5" tint="0.59996337778862885"/>
        </patternFill>
      </fill>
    </dxf>
    <dxf>
      <numFmt numFmtId="179" formatCode="0.0000"/>
    </dxf>
    <dxf>
      <numFmt numFmtId="179" formatCode="0.0000"/>
    </dxf>
    <dxf>
      <numFmt numFmtId="179" formatCode="0.0000"/>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numFmt numFmtId="3" formatCode="#,##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numFmt numFmtId="3" formatCode="#,##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numFmt numFmtId="179" formatCode="0.0000"/>
    </dxf>
    <dxf>
      <numFmt numFmtId="3" formatCode="#,##0"/>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numFmt numFmtId="178" formatCode="#,##0.0000"/>
    </dxf>
    <dxf>
      <numFmt numFmtId="3" formatCode="#,##0"/>
    </dxf>
    <dxf>
      <numFmt numFmtId="179" formatCode="0.0000"/>
    </dxf>
    <dxf>
      <numFmt numFmtId="179" formatCode="0.0000"/>
    </dxf>
    <dxf>
      <numFmt numFmtId="179" formatCode="0.0000"/>
    </dxf>
    <dxf>
      <fill>
        <patternFill>
          <bgColor rgb="FFFF0000"/>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theme="9" tint="0.59996337778862885"/>
        </patternFill>
      </fill>
    </dxf>
    <dxf>
      <fill>
        <patternFill>
          <bgColor rgb="FFFF0000"/>
        </patternFill>
      </fill>
    </dxf>
    <dxf>
      <fill>
        <patternFill>
          <bgColor rgb="FFFF0000"/>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rgb="FFFFFF99"/>
        </patternFill>
      </fill>
    </dxf>
    <dxf>
      <fill>
        <patternFill>
          <bgColor theme="9" tint="0.59996337778862885"/>
        </patternFill>
      </fill>
    </dxf>
    <dxf>
      <fill>
        <patternFill>
          <bgColor rgb="FFFF0000"/>
        </patternFill>
      </fill>
    </dxf>
    <dxf>
      <font>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colors>
    <mruColors>
      <color rgb="FFFFFF99"/>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emf"/><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7</xdr:col>
      <xdr:colOff>318892</xdr:colOff>
      <xdr:row>44</xdr:row>
      <xdr:rowOff>42710</xdr:rowOff>
    </xdr:from>
    <xdr:to>
      <xdr:col>7</xdr:col>
      <xdr:colOff>1182492</xdr:colOff>
      <xdr:row>44</xdr:row>
      <xdr:rowOff>783484</xdr:rowOff>
    </xdr:to>
    <xdr:pic>
      <xdr:nvPicPr>
        <xdr:cNvPr id="7" name="Picture 6">
          <a:extLst>
            <a:ext uri="{FF2B5EF4-FFF2-40B4-BE49-F238E27FC236}">
              <a16:creationId xmlns:a16="http://schemas.microsoft.com/office/drawing/2014/main" id="{993E7F6A-B6E9-41E9-A542-7BEF39FA1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121272" y="9773450"/>
          <a:ext cx="863600" cy="752204"/>
        </a:xfrm>
        <a:prstGeom prst="rect">
          <a:avLst/>
        </a:prstGeom>
        <a:noFill/>
        <a:ln>
          <a:noFill/>
        </a:ln>
      </xdr:spPr>
    </xdr:pic>
    <xdr:clientData/>
  </xdr:twoCellAnchor>
  <xdr:twoCellAnchor editAs="oneCell">
    <xdr:from>
      <xdr:col>5</xdr:col>
      <xdr:colOff>111565</xdr:colOff>
      <xdr:row>43</xdr:row>
      <xdr:rowOff>46358</xdr:rowOff>
    </xdr:from>
    <xdr:to>
      <xdr:col>5</xdr:col>
      <xdr:colOff>915474</xdr:colOff>
      <xdr:row>43</xdr:row>
      <xdr:rowOff>777410</xdr:rowOff>
    </xdr:to>
    <xdr:pic>
      <xdr:nvPicPr>
        <xdr:cNvPr id="10" name="Picture 9">
          <a:extLst>
            <a:ext uri="{FF2B5EF4-FFF2-40B4-BE49-F238E27FC236}">
              <a16:creationId xmlns:a16="http://schemas.microsoft.com/office/drawing/2014/main" id="{3D73E453-C06D-4DD4-83A3-B9E5258DAA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264715" y="10428608"/>
          <a:ext cx="803909" cy="727242"/>
        </a:xfrm>
        <a:prstGeom prst="rect">
          <a:avLst/>
        </a:prstGeom>
        <a:noFill/>
        <a:ln>
          <a:noFill/>
        </a:ln>
      </xdr:spPr>
    </xdr:pic>
    <xdr:clientData/>
  </xdr:twoCellAnchor>
  <xdr:twoCellAnchor editAs="oneCell">
    <xdr:from>
      <xdr:col>5</xdr:col>
      <xdr:colOff>155574</xdr:colOff>
      <xdr:row>40</xdr:row>
      <xdr:rowOff>53656</xdr:rowOff>
    </xdr:from>
    <xdr:to>
      <xdr:col>5</xdr:col>
      <xdr:colOff>879474</xdr:colOff>
      <xdr:row>40</xdr:row>
      <xdr:rowOff>780429</xdr:rowOff>
    </xdr:to>
    <xdr:pic>
      <xdr:nvPicPr>
        <xdr:cNvPr id="11" name="Picture 10">
          <a:extLst>
            <a:ext uri="{FF2B5EF4-FFF2-40B4-BE49-F238E27FC236}">
              <a16:creationId xmlns:a16="http://schemas.microsoft.com/office/drawing/2014/main" id="{10E5F845-1F03-4F4D-B2BC-B05710ABA2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22499" y="7978456"/>
          <a:ext cx="723900" cy="730583"/>
        </a:xfrm>
        <a:prstGeom prst="rect">
          <a:avLst/>
        </a:prstGeom>
        <a:ln>
          <a:noFill/>
        </a:ln>
      </xdr:spPr>
    </xdr:pic>
    <xdr:clientData/>
  </xdr:twoCellAnchor>
  <xdr:twoCellAnchor editAs="oneCell">
    <xdr:from>
      <xdr:col>5</xdr:col>
      <xdr:colOff>113620</xdr:colOff>
      <xdr:row>42</xdr:row>
      <xdr:rowOff>40482</xdr:rowOff>
    </xdr:from>
    <xdr:to>
      <xdr:col>5</xdr:col>
      <xdr:colOff>951518</xdr:colOff>
      <xdr:row>42</xdr:row>
      <xdr:rowOff>782343</xdr:rowOff>
    </xdr:to>
    <xdr:pic>
      <xdr:nvPicPr>
        <xdr:cNvPr id="12" name="Picture 11">
          <a:extLst>
            <a:ext uri="{FF2B5EF4-FFF2-40B4-BE49-F238E27FC236}">
              <a16:creationId xmlns:a16="http://schemas.microsoft.com/office/drawing/2014/main" id="{8C985F67-4DC8-4915-81E3-E884CD504AF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266770" y="9603582"/>
          <a:ext cx="837898" cy="741861"/>
        </a:xfrm>
        <a:prstGeom prst="rect">
          <a:avLst/>
        </a:prstGeom>
        <a:noFill/>
        <a:ln>
          <a:noFill/>
        </a:ln>
      </xdr:spPr>
    </xdr:pic>
    <xdr:clientData/>
  </xdr:twoCellAnchor>
  <xdr:twoCellAnchor editAs="oneCell">
    <xdr:from>
      <xdr:col>5</xdr:col>
      <xdr:colOff>161795</xdr:colOff>
      <xdr:row>41</xdr:row>
      <xdr:rowOff>57466</xdr:rowOff>
    </xdr:from>
    <xdr:to>
      <xdr:col>5</xdr:col>
      <xdr:colOff>895724</xdr:colOff>
      <xdr:row>41</xdr:row>
      <xdr:rowOff>778373</xdr:rowOff>
    </xdr:to>
    <xdr:pic>
      <xdr:nvPicPr>
        <xdr:cNvPr id="13" name="Picture 12" descr="Logo&#10;&#10;Description automatically generated">
          <a:extLst>
            <a:ext uri="{FF2B5EF4-FFF2-40B4-BE49-F238E27FC236}">
              <a16:creationId xmlns:a16="http://schemas.microsoft.com/office/drawing/2014/main" id="{2AC825A1-53E2-45A8-8241-FC60494996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314945" y="8801416"/>
          <a:ext cx="720594" cy="724717"/>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6</xdr:col>
          <xdr:colOff>349576</xdr:colOff>
          <xdr:row>39</xdr:row>
          <xdr:rowOff>546</xdr:rowOff>
        </xdr:from>
        <xdr:to>
          <xdr:col>7</xdr:col>
          <xdr:colOff>1391611</xdr:colOff>
          <xdr:row>40</xdr:row>
          <xdr:rowOff>546</xdr:rowOff>
        </xdr:to>
        <xdr:pic>
          <xdr:nvPicPr>
            <xdr:cNvPr id="15" name="Picture 14">
              <a:extLst>
                <a:ext uri="{FF2B5EF4-FFF2-40B4-BE49-F238E27FC236}">
                  <a16:creationId xmlns:a16="http://schemas.microsoft.com/office/drawing/2014/main" id="{2C890635-FD55-45B4-91BB-696BDB8A3020}"/>
                </a:ext>
              </a:extLst>
            </xdr:cNvPr>
            <xdr:cNvPicPr>
              <a:picLocks noChangeAspect="1"/>
              <a:extLst>
                <a:ext uri="{84589F7E-364E-4C9E-8A38-B11213B215E9}">
                  <a14:cameraTool cellRange="Logo" spid="_x0000_s20421"/>
                </a:ext>
              </a:extLst>
            </xdr:cNvPicPr>
          </xdr:nvPicPr>
          <xdr:blipFill rotWithShape="1">
            <a:blip xmlns:r="http://schemas.openxmlformats.org/officeDocument/2006/relationships" r:embed="rId6"/>
            <a:stretch>
              <a:fillRect/>
            </a:stretch>
          </xdr:blipFill>
          <xdr:spPr bwMode="auto">
            <a:xfrm>
              <a:off x="3755716" y="6439446"/>
              <a:ext cx="1424940" cy="822960"/>
            </a:xfrm>
            <a:prstGeom prst="rect">
              <a:avLst/>
            </a:prstGeom>
            <a:noFill/>
            <a:ln>
              <a:noFill/>
            </a:ln>
          </xdr:spPr>
        </xdr:pic>
        <xdr:clientData/>
      </xdr:twoCellAnchor>
    </mc:Choice>
    <mc:Fallback/>
  </mc:AlternateContent>
  <xdr:twoCellAnchor editAs="oneCell">
    <xdr:from>
      <xdr:col>5</xdr:col>
      <xdr:colOff>53340</xdr:colOff>
      <xdr:row>44</xdr:row>
      <xdr:rowOff>220980</xdr:rowOff>
    </xdr:from>
    <xdr:to>
      <xdr:col>5</xdr:col>
      <xdr:colOff>1408471</xdr:colOff>
      <xdr:row>44</xdr:row>
      <xdr:rowOff>703513</xdr:rowOff>
    </xdr:to>
    <xdr:pic>
      <xdr:nvPicPr>
        <xdr:cNvPr id="2" name="Picture 1">
          <a:extLst>
            <a:ext uri="{FF2B5EF4-FFF2-40B4-BE49-F238E27FC236}">
              <a16:creationId xmlns:a16="http://schemas.microsoft.com/office/drawing/2014/main" id="{4395E017-A77F-4E1A-9D4E-4F0205ABE5A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2034540" y="9951720"/>
          <a:ext cx="1355131" cy="495868"/>
        </a:xfrm>
        <a:prstGeom prst="rect">
          <a:avLst/>
        </a:prstGeom>
      </xdr:spPr>
    </xdr:pic>
    <xdr:clientData/>
  </xdr:twoCellAnchor>
  <xdr:twoCellAnchor editAs="oneCell">
    <xdr:from>
      <xdr:col>5</xdr:col>
      <xdr:colOff>171450</xdr:colOff>
      <xdr:row>39</xdr:row>
      <xdr:rowOff>11430</xdr:rowOff>
    </xdr:from>
    <xdr:to>
      <xdr:col>5</xdr:col>
      <xdr:colOff>930132</xdr:colOff>
      <xdr:row>39</xdr:row>
      <xdr:rowOff>762000</xdr:rowOff>
    </xdr:to>
    <xdr:pic>
      <xdr:nvPicPr>
        <xdr:cNvPr id="6" name="Picture 5">
          <a:extLst>
            <a:ext uri="{FF2B5EF4-FFF2-40B4-BE49-F238E27FC236}">
              <a16:creationId xmlns:a16="http://schemas.microsoft.com/office/drawing/2014/main" id="{B47AD404-B9CA-6789-3D0A-53282B17D8DD}"/>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324600" y="7117080"/>
          <a:ext cx="762492" cy="7505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187325</xdr:colOff>
      <xdr:row>110</xdr:row>
      <xdr:rowOff>102235</xdr:rowOff>
    </xdr:from>
    <xdr:ext cx="712568" cy="259080"/>
    <xdr:pic>
      <xdr:nvPicPr>
        <xdr:cNvPr id="2" name="Picture 1" descr="A blue text on a white background&#10;&#10;Description automatically generated">
          <a:extLst>
            <a:ext uri="{FF2B5EF4-FFF2-40B4-BE49-F238E27FC236}">
              <a16:creationId xmlns:a16="http://schemas.microsoft.com/office/drawing/2014/main" id="{1CC8DC56-9A85-4881-9BEC-8685863596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6150" y="18053050"/>
          <a:ext cx="712568" cy="259080"/>
        </a:xfrm>
        <a:prstGeom prst="rect">
          <a:avLst/>
        </a:prstGeom>
      </xdr:spPr>
    </xdr:pic>
    <xdr:clientData/>
  </xdr:oneCellAnchor>
  <mc:AlternateContent xmlns:mc="http://schemas.openxmlformats.org/markup-compatibility/2006">
    <mc:Choice xmlns:a14="http://schemas.microsoft.com/office/drawing/2010/main" Requires="a14">
      <xdr:oneCellAnchor>
        <xdr:from>
          <xdr:col>44</xdr:col>
          <xdr:colOff>100965</xdr:colOff>
          <xdr:row>0</xdr:row>
          <xdr:rowOff>0</xdr:rowOff>
        </xdr:from>
        <xdr:ext cx="1289685" cy="739419"/>
        <xdr:pic>
          <xdr:nvPicPr>
            <xdr:cNvPr id="3" name="Picture 2">
              <a:extLst>
                <a:ext uri="{FF2B5EF4-FFF2-40B4-BE49-F238E27FC236}">
                  <a16:creationId xmlns:a16="http://schemas.microsoft.com/office/drawing/2014/main" id="{8C45672E-3BBC-4D58-AB8B-1228C95E12DA}"/>
                </a:ext>
              </a:extLst>
            </xdr:cNvPr>
            <xdr:cNvPicPr>
              <a:picLocks noChangeAspect="1" noChangeArrowheads="1"/>
              <a:extLst>
                <a:ext uri="{84589F7E-364E-4C9E-8A38-B11213B215E9}">
                  <a14:cameraTool cellRange="Logo" spid="_x0000_s39053"/>
                </a:ext>
              </a:extLst>
            </xdr:cNvPicPr>
          </xdr:nvPicPr>
          <xdr:blipFill>
            <a:blip xmlns:r="http://schemas.openxmlformats.org/officeDocument/2006/relationships" r:embed="rId2"/>
            <a:stretch>
              <a:fillRect/>
            </a:stretch>
          </xdr:blipFill>
          <xdr:spPr bwMode="auto">
            <a:xfrm>
              <a:off x="7212965" y="0"/>
              <a:ext cx="1289685" cy="739419"/>
            </a:xfrm>
            <a:prstGeom prst="rect">
              <a:avLst/>
            </a:prstGeom>
            <a:noFill/>
            <a:extLst>
              <a:ext uri="{909E8E84-426E-40DD-AFC4-6F175D3DCCD1}">
                <a14:hiddenFill>
                  <a:solidFill>
                    <a:srgbClr val="FFFFFF"/>
                  </a:solidFill>
                </a14:hiddenFill>
              </a:ext>
            </a:extLst>
          </xdr:spPr>
        </xdr:pic>
        <xdr:clientData/>
      </xdr:oneCellAnchor>
    </mc:Choice>
    <mc:Fallback/>
  </mc:AlternateContent>
  <xdr:oneCellAnchor>
    <xdr:from>
      <xdr:col>31</xdr:col>
      <xdr:colOff>113665</xdr:colOff>
      <xdr:row>60</xdr:row>
      <xdr:rowOff>22225</xdr:rowOff>
    </xdr:from>
    <xdr:ext cx="712568" cy="259080"/>
    <xdr:pic>
      <xdr:nvPicPr>
        <xdr:cNvPr id="4" name="Picture 3">
          <a:extLst>
            <a:ext uri="{FF2B5EF4-FFF2-40B4-BE49-F238E27FC236}">
              <a16:creationId xmlns:a16="http://schemas.microsoft.com/office/drawing/2014/main" id="{E88FCFE0-5CB4-4B22-90FF-B369FA35C6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2490" y="9152890"/>
          <a:ext cx="712568" cy="259080"/>
        </a:xfrm>
        <a:prstGeom prst="rect">
          <a:avLst/>
        </a:prstGeom>
      </xdr:spPr>
    </xdr:pic>
    <xdr:clientData/>
  </xdr:oneCellAnchor>
  <mc:AlternateContent xmlns:mc="http://schemas.openxmlformats.org/markup-compatibility/2006">
    <mc:Choice xmlns:a14="http://schemas.microsoft.com/office/drawing/2010/main" Requires="a14">
      <xdr:oneCellAnchor>
        <xdr:from>
          <xdr:col>0</xdr:col>
          <xdr:colOff>0</xdr:colOff>
          <xdr:row>0</xdr:row>
          <xdr:rowOff>19685</xdr:rowOff>
        </xdr:from>
        <xdr:ext cx="1263650" cy="724493"/>
        <xdr:pic>
          <xdr:nvPicPr>
            <xdr:cNvPr id="5" name="Picture 4">
              <a:extLst>
                <a:ext uri="{FF2B5EF4-FFF2-40B4-BE49-F238E27FC236}">
                  <a16:creationId xmlns:a16="http://schemas.microsoft.com/office/drawing/2014/main" id="{1107E75F-B5DA-49A4-A03B-FB4DF23ACC81}"/>
                </a:ext>
              </a:extLst>
            </xdr:cNvPr>
            <xdr:cNvPicPr>
              <a:picLocks noChangeAspect="1"/>
              <a:extLst>
                <a:ext uri="{84589F7E-364E-4C9E-8A38-B11213B215E9}">
                  <a14:cameraTool cellRange="Logo" spid="_x0000_s39054"/>
                </a:ext>
              </a:extLst>
            </xdr:cNvPicPr>
          </xdr:nvPicPr>
          <xdr:blipFill rotWithShape="1">
            <a:blip xmlns:r="http://schemas.openxmlformats.org/officeDocument/2006/relationships" r:embed="rId2"/>
            <a:stretch>
              <a:fillRect/>
            </a:stretch>
          </xdr:blipFill>
          <xdr:spPr bwMode="auto">
            <a:xfrm>
              <a:off x="0" y="19685"/>
              <a:ext cx="1263650" cy="724493"/>
            </a:xfrm>
            <a:prstGeom prst="rect">
              <a:avLst/>
            </a:prstGeom>
            <a:noFill/>
            <a:ln>
              <a:noFill/>
            </a:ln>
          </xdr:spPr>
        </xdr:pic>
        <xdr:clientData/>
      </xdr:one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32</xdr:col>
      <xdr:colOff>43815</xdr:colOff>
      <xdr:row>52</xdr:row>
      <xdr:rowOff>40005</xdr:rowOff>
    </xdr:from>
    <xdr:to>
      <xdr:col>35</xdr:col>
      <xdr:colOff>135635</xdr:colOff>
      <xdr:row>53</xdr:row>
      <xdr:rowOff>113274</xdr:rowOff>
    </xdr:to>
    <xdr:pic>
      <xdr:nvPicPr>
        <xdr:cNvPr id="9" name="Picture 8">
          <a:extLst>
            <a:ext uri="{FF2B5EF4-FFF2-40B4-BE49-F238E27FC236}">
              <a16:creationId xmlns:a16="http://schemas.microsoft.com/office/drawing/2014/main" id="{B0BE7FD3-1275-479F-80D1-3C983C232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315" y="8872855"/>
          <a:ext cx="659510" cy="2637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38100</xdr:colOff>
          <xdr:row>3</xdr:row>
          <xdr:rowOff>171272</xdr:rowOff>
        </xdr:to>
        <xdr:pic>
          <xdr:nvPicPr>
            <xdr:cNvPr id="2" name="Picture 1">
              <a:extLst>
                <a:ext uri="{FF2B5EF4-FFF2-40B4-BE49-F238E27FC236}">
                  <a16:creationId xmlns:a16="http://schemas.microsoft.com/office/drawing/2014/main" id="{7186B492-6E70-4EE0-ADFC-D95A1F4396F1}"/>
                </a:ext>
              </a:extLst>
            </xdr:cNvPr>
            <xdr:cNvPicPr>
              <a:picLocks noChangeAspect="1"/>
              <a:extLst>
                <a:ext uri="{84589F7E-364E-4C9E-8A38-B11213B215E9}">
                  <a14:cameraTool cellRange="Logo" spid="_x0000_s33397"/>
                </a:ext>
              </a:extLst>
            </xdr:cNvPicPr>
          </xdr:nvPicPr>
          <xdr:blipFill rotWithShape="1">
            <a:blip xmlns:r="http://schemas.openxmlformats.org/officeDocument/2006/relationships" r:embed="rId2"/>
            <a:stretch>
              <a:fillRect/>
            </a:stretch>
          </xdr:blipFill>
          <xdr:spPr bwMode="auto">
            <a:xfrm>
              <a:off x="0" y="0"/>
              <a:ext cx="1308100" cy="750392"/>
            </a:xfrm>
            <a:prstGeom prst="rect">
              <a:avLst/>
            </a:prstGeom>
            <a:noFill/>
            <a:ln>
              <a:noFill/>
            </a:ln>
          </xdr:spPr>
        </xdr:pic>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HYDRO\PROJECTS\00%20-%20BDS\Post%20Const%20Forms%20Master\2026-10-01%20Draft\2026-10-01%20Master%202A%20&amp;%203A%20Detention%20Pond%20Forms%20(P).xlsx" TargetMode="External"/><Relationship Id="rId1" Type="http://schemas.openxmlformats.org/officeDocument/2006/relationships/externalLinkPath" Target="2026-10-01%20Master%202A%20&amp;%203A%20Detention%20Pond%20Forms%20(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s"/>
      <sheetName val="License"/>
      <sheetName val="General Instructions"/>
      <sheetName val="Form 2A.1 - Design"/>
      <sheetName val="Form 3A - As-built"/>
    </sheetNames>
    <sheetDataSet>
      <sheetData sheetId="0">
        <row r="2">
          <cell r="D2" t="str">
            <v>Concrete</v>
          </cell>
          <cell r="F2" t="str">
            <v>Arch</v>
          </cell>
        </row>
        <row r="3">
          <cell r="D3" t="str">
            <v>Earthen</v>
          </cell>
          <cell r="F3" t="str">
            <v>Elliptical</v>
          </cell>
        </row>
        <row r="4">
          <cell r="D4" t="str">
            <v>Geotextile</v>
          </cell>
          <cell r="F4" t="str">
            <v>Rectangle</v>
          </cell>
        </row>
        <row r="5">
          <cell r="D5" t="str">
            <v>HDPE</v>
          </cell>
          <cell r="F5" t="str">
            <v>Round</v>
          </cell>
        </row>
        <row r="6">
          <cell r="D6" t="str">
            <v>HDPP</v>
          </cell>
          <cell r="F6" t="str">
            <v>Square</v>
          </cell>
        </row>
        <row r="7">
          <cell r="D7" t="str">
            <v>Metal</v>
          </cell>
          <cell r="F7" t="str">
            <v>Trapezoid</v>
          </cell>
        </row>
        <row r="8">
          <cell r="D8" t="str">
            <v>Other</v>
          </cell>
          <cell r="F8" t="str">
            <v>T-shape</v>
          </cell>
        </row>
        <row r="9">
          <cell r="D9" t="str">
            <v>PVC</v>
          </cell>
          <cell r="F9" t="str">
            <v>V-notch</v>
          </cell>
        </row>
        <row r="10">
          <cell r="D10" t="str">
            <v>Riprap</v>
          </cell>
          <cell r="F10" t="str">
            <v>Other</v>
          </cell>
        </row>
      </sheetData>
      <sheetData sheetId="1" refreshError="1"/>
      <sheetData sheetId="2" refreshError="1"/>
      <sheetData sheetId="3" refreshError="1"/>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headerRowDxfId="175" dataDxfId="174">
  <autoFilter ref="D1:D10" xr:uid="{4350EFB0-EACE-4F2E-965F-30EBADAB0D63}"/>
  <sortState xmlns:xlrd2="http://schemas.microsoft.com/office/spreadsheetml/2017/richdata2" ref="D2:D10">
    <sortCondition ref="D2:D10"/>
  </sortState>
  <tableColumns count="1">
    <tableColumn id="1" xr3:uid="{20635FEE-B87A-4613-8116-D42DBA41BC7B}" name="Material" dataDxfId="17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1" totalsRowShown="0" headerRowDxfId="172" dataDxfId="171">
  <autoFilter ref="F1:F11" xr:uid="{6939741E-8EC4-48CA-B62A-CDE619601AF9}"/>
  <sortState xmlns:xlrd2="http://schemas.microsoft.com/office/spreadsheetml/2017/richdata2" ref="F2:F11">
    <sortCondition ref="F2:F11"/>
  </sortState>
  <tableColumns count="1">
    <tableColumn id="1" xr3:uid="{FCA45FDF-4BF6-485F-9343-A0FC0251070A}" name="Shape" dataDxfId="17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headerRowDxfId="169" dataDxfId="168">
  <autoFilter ref="H1:H5" xr:uid="{2397A227-8DCB-4BDE-A6B8-65F88654921D}"/>
  <tableColumns count="1">
    <tableColumn id="1" xr3:uid="{027BD434-05A1-4059-97D8-98CB878E91EF}" name="Type" dataDxfId="16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1" totalsRowShown="0" headerRowDxfId="166" dataDxfId="165">
  <autoFilter ref="J1:J21" xr:uid="{88C10C78-AF29-47BA-9C97-B74BAA8C7E1E}"/>
  <tableColumns count="1">
    <tableColumn id="1" xr3:uid="{C70FD3B5-6EE9-47D3-96F9-BC5D876984C6}" name="Design Response" dataDxfId="16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261821-00BA-47C6-9966-09F0C61A53D6}" name="OP" displayName="OP" ref="H8:H14" totalsRowShown="0" headerRowDxfId="163" dataDxfId="162">
  <autoFilter ref="H8:H14" xr:uid="{DB261821-00BA-47C6-9966-09F0C61A53D6}"/>
  <tableColumns count="1">
    <tableColumn id="1" xr3:uid="{62346A3B-A68D-4C87-9BFA-2C1AE1C31679}" name="Outlet Protection" dataDxfId="16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A3E2B9A-CDE6-4AED-B4C1-3F05B3376F37}" name="Storms" displayName="Storms" ref="K26:L32" totalsRowShown="0" headerRowDxfId="160">
  <autoFilter ref="K26:L32" xr:uid="{DA3E2B9A-CDE6-4AED-B4C1-3F05B3376F37}"/>
  <tableColumns count="2">
    <tableColumn id="1" xr3:uid="{D6C0B03A-3B69-43AC-BB12-3F71109D27B6}" name="Known or Adj Storm" dataDxfId="159"/>
    <tableColumn id="2" xr3:uid="{4E43272E-4428-4B6C-A6E9-657F071A2134}" name="Requirements" dataDxfId="15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D2F5D8-A49A-45E4-A412-5EB745DB8AB5}" name="Table7" displayName="Table7" ref="L34:L36" totalsRowShown="0" headerRowDxfId="157" dataDxfId="156">
  <autoFilter ref="L34:L36" xr:uid="{56D2F5D8-A49A-45E4-A412-5EB745DB8AB5}"/>
  <tableColumns count="1">
    <tableColumn id="1" xr3:uid="{295D3A55-D0F9-4783-BE6A-20D2256D216E}" name="Question" dataDxfId="15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D24847A-50BE-48E9-94F6-36731DFF6B41}" name="Table810" displayName="Table810" ref="B11:B14" totalsRowShown="0" headerRowDxfId="154" dataDxfId="153">
  <autoFilter ref="B11:B14" xr:uid="{2D24847A-50BE-48E9-94F6-36731DFF6B41}"/>
  <tableColumns count="1">
    <tableColumn id="1" xr3:uid="{D4488CE4-74AF-4931-9A2E-60CE8D009958}" name="Acceptance Table" dataDxfId="15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R45"/>
  <sheetViews>
    <sheetView showGridLines="0" zoomScaleNormal="100" workbookViewId="0">
      <selection activeCell="F14" sqref="F14"/>
    </sheetView>
  </sheetViews>
  <sheetFormatPr defaultRowHeight="14.4" x14ac:dyDescent="0.3"/>
  <cols>
    <col min="1" max="1" width="29" style="13" bestFit="1" customWidth="1"/>
    <col min="2" max="2" width="25.77734375" style="13" customWidth="1"/>
    <col min="3" max="3" width="4.77734375" style="13" customWidth="1"/>
    <col min="4" max="4" width="25.44140625" style="13" bestFit="1" customWidth="1"/>
    <col min="5" max="5" width="4.77734375" style="13" customWidth="1"/>
    <col min="6" max="6" width="20.77734375" style="13" customWidth="1"/>
    <col min="7" max="7" width="5.77734375" style="13" customWidth="1"/>
    <col min="8" max="8" width="25.77734375" style="13" customWidth="1"/>
    <col min="9" max="9" width="3.77734375" style="13" customWidth="1"/>
    <col min="10" max="10" width="75.6640625" style="13" bestFit="1" customWidth="1"/>
    <col min="11" max="11" width="20" style="13" customWidth="1"/>
    <col min="12" max="12" width="22.77734375" style="13" bestFit="1" customWidth="1"/>
    <col min="13" max="13" width="25" style="13" bestFit="1" customWidth="1"/>
    <col min="14" max="15" width="20.44140625" style="13" bestFit="1" customWidth="1"/>
    <col min="16" max="16" width="25" style="13" bestFit="1" customWidth="1"/>
    <col min="17" max="18" width="20.44140625" style="13" bestFit="1" customWidth="1"/>
    <col min="19" max="16384" width="8.88671875" style="13"/>
  </cols>
  <sheetData>
    <row r="1" spans="1:18" x14ac:dyDescent="0.3">
      <c r="A1" s="99" t="s">
        <v>136</v>
      </c>
      <c r="B1" s="100"/>
      <c r="D1" s="13" t="s">
        <v>10</v>
      </c>
      <c r="F1" s="13" t="s">
        <v>17</v>
      </c>
      <c r="H1" s="13" t="s">
        <v>20</v>
      </c>
      <c r="J1" s="13" t="s">
        <v>26</v>
      </c>
      <c r="K1" s="31">
        <v>1</v>
      </c>
      <c r="L1" s="51" t="s">
        <v>67</v>
      </c>
      <c r="M1" s="51" t="s">
        <v>123</v>
      </c>
      <c r="N1" s="51" t="s">
        <v>35</v>
      </c>
      <c r="O1" s="51" t="s">
        <v>46</v>
      </c>
      <c r="P1" s="51" t="s">
        <v>37</v>
      </c>
      <c r="Q1" s="51" t="s">
        <v>34</v>
      </c>
      <c r="R1" s="51" t="s">
        <v>36</v>
      </c>
    </row>
    <row r="2" spans="1:18" x14ac:dyDescent="0.3">
      <c r="A2" s="52" t="s">
        <v>139</v>
      </c>
      <c r="B2" s="53">
        <f>EDATE(F$13,B3)</f>
        <v>46661</v>
      </c>
      <c r="C2"/>
      <c r="D2" s="13" t="s">
        <v>11</v>
      </c>
      <c r="F2" s="13" t="s">
        <v>74</v>
      </c>
      <c r="H2" s="33" t="s">
        <v>60</v>
      </c>
      <c r="J2" s="13" t="s">
        <v>63</v>
      </c>
      <c r="K2" s="31">
        <f>K1+1</f>
        <v>2</v>
      </c>
      <c r="L2" s="42" t="s">
        <v>3</v>
      </c>
      <c r="M2" s="28">
        <v>1</v>
      </c>
      <c r="N2" s="28">
        <v>1.1000000000000001</v>
      </c>
      <c r="O2" s="28">
        <v>1.1000000000000001</v>
      </c>
      <c r="P2" s="28">
        <v>1.2</v>
      </c>
      <c r="Q2" s="28">
        <v>1.1000000000000001</v>
      </c>
      <c r="R2" s="28">
        <v>1.1000000000000001</v>
      </c>
    </row>
    <row r="3" spans="1:18" x14ac:dyDescent="0.3">
      <c r="A3" s="54" t="s">
        <v>138</v>
      </c>
      <c r="B3" s="55">
        <v>13</v>
      </c>
      <c r="C3"/>
      <c r="D3" s="13" t="s">
        <v>22</v>
      </c>
      <c r="F3" s="13" t="s">
        <v>75</v>
      </c>
      <c r="H3" s="13" t="s">
        <v>61</v>
      </c>
      <c r="J3" s="13" t="s">
        <v>25</v>
      </c>
      <c r="K3" s="31">
        <f t="shared" ref="K3:K23" si="0">K2+1</f>
        <v>3</v>
      </c>
      <c r="L3" s="42" t="s">
        <v>4</v>
      </c>
      <c r="M3" s="28">
        <v>6.02</v>
      </c>
      <c r="N3" s="28">
        <v>4.1100000000000003</v>
      </c>
      <c r="O3" s="28">
        <v>4.1399999999999997</v>
      </c>
      <c r="P3" s="28">
        <v>5.7</v>
      </c>
      <c r="Q3" s="28">
        <v>4.24</v>
      </c>
      <c r="R3" s="28">
        <v>4.21</v>
      </c>
    </row>
    <row r="4" spans="1:18" x14ac:dyDescent="0.3">
      <c r="A4" s="54" t="s">
        <v>141</v>
      </c>
      <c r="B4" s="60"/>
      <c r="C4"/>
      <c r="D4" s="13" t="s">
        <v>23</v>
      </c>
      <c r="F4" s="13" t="s">
        <v>43</v>
      </c>
      <c r="H4" s="13" t="s">
        <v>69</v>
      </c>
      <c r="J4" s="13" t="s">
        <v>27</v>
      </c>
      <c r="K4" s="31">
        <f t="shared" si="0"/>
        <v>4</v>
      </c>
      <c r="L4" s="42" t="s">
        <v>5</v>
      </c>
      <c r="M4" s="28">
        <v>7.68</v>
      </c>
      <c r="N4" s="28">
        <v>5.01</v>
      </c>
      <c r="O4" s="28">
        <v>5.0599999999999996</v>
      </c>
      <c r="P4" s="28">
        <v>7.21</v>
      </c>
      <c r="Q4" s="28">
        <v>5.3</v>
      </c>
      <c r="R4" s="28">
        <v>5.24</v>
      </c>
    </row>
    <row r="5" spans="1:18" x14ac:dyDescent="0.3">
      <c r="A5" s="54" t="s">
        <v>135</v>
      </c>
      <c r="B5" s="55" t="s">
        <v>163</v>
      </c>
      <c r="C5" s="45"/>
      <c r="D5" s="13" t="s">
        <v>15</v>
      </c>
      <c r="F5" s="13" t="s">
        <v>42</v>
      </c>
      <c r="H5" s="13" t="s">
        <v>62</v>
      </c>
      <c r="J5" s="13" t="s">
        <v>24</v>
      </c>
      <c r="K5" s="31">
        <f t="shared" si="0"/>
        <v>5</v>
      </c>
      <c r="L5" s="42" t="s">
        <v>6</v>
      </c>
      <c r="M5" s="28">
        <v>9.26</v>
      </c>
      <c r="N5" s="28">
        <v>5.87</v>
      </c>
      <c r="O5" s="28">
        <v>5.91</v>
      </c>
      <c r="P5" s="28">
        <v>8.6300000000000008</v>
      </c>
      <c r="Q5" s="28">
        <v>6.24</v>
      </c>
      <c r="R5" s="28">
        <v>6.17</v>
      </c>
    </row>
    <row r="6" spans="1:18" x14ac:dyDescent="0.3">
      <c r="A6" s="54" t="s">
        <v>142</v>
      </c>
      <c r="B6" s="56">
        <f>IF(ISBLANK($B$4),$B$2,$B$4)</f>
        <v>46661</v>
      </c>
      <c r="C6"/>
      <c r="D6" s="13" t="s">
        <v>13</v>
      </c>
      <c r="F6" s="13" t="s">
        <v>44</v>
      </c>
      <c r="J6" s="13" t="str">
        <f>"Emergency Spillway Velocity &gt; "&amp;F26&amp;" ft/s"</f>
        <v>Emergency Spillway Velocity &gt; 6 ft/s</v>
      </c>
      <c r="K6" s="31">
        <f t="shared" si="0"/>
        <v>6</v>
      </c>
      <c r="L6" s="42" t="s">
        <v>7</v>
      </c>
      <c r="M6" s="28">
        <v>11.7</v>
      </c>
      <c r="N6" s="28">
        <v>7.21</v>
      </c>
      <c r="O6" s="28">
        <v>7.26</v>
      </c>
      <c r="P6" s="28">
        <v>10.8</v>
      </c>
      <c r="Q6" s="28">
        <v>7.64</v>
      </c>
      <c r="R6" s="28">
        <v>7.55</v>
      </c>
    </row>
    <row r="7" spans="1:18" x14ac:dyDescent="0.3">
      <c r="A7" s="54" t="s">
        <v>134</v>
      </c>
      <c r="B7" s="57" t="b">
        <f>IF(License!$F$2="I ACCEPT",TRUE,FALSE)</f>
        <v>0</v>
      </c>
      <c r="C7" s="46"/>
      <c r="D7" s="13" t="s">
        <v>12</v>
      </c>
      <c r="F7" s="13" t="s">
        <v>45</v>
      </c>
      <c r="J7" s="13" t="s">
        <v>121</v>
      </c>
      <c r="K7" s="31">
        <f t="shared" si="0"/>
        <v>7</v>
      </c>
      <c r="L7" s="42" t="s">
        <v>76</v>
      </c>
      <c r="M7" s="28">
        <v>13.9</v>
      </c>
      <c r="N7" s="28">
        <v>8.3699999999999992</v>
      </c>
      <c r="O7" s="28">
        <v>8.48</v>
      </c>
      <c r="P7" s="28">
        <v>12.7</v>
      </c>
      <c r="Q7" s="28">
        <v>8.8000000000000007</v>
      </c>
      <c r="R7" s="28">
        <v>8.6999999999999993</v>
      </c>
    </row>
    <row r="8" spans="1:18" x14ac:dyDescent="0.3">
      <c r="A8" s="58" t="s">
        <v>133</v>
      </c>
      <c r="B8" s="59" t="b">
        <f ca="1">OR(License!$F$4=B5, AND(B7=TRUE, NOW()&lt;B6))</f>
        <v>0</v>
      </c>
      <c r="C8"/>
      <c r="D8" s="13" t="s">
        <v>16</v>
      </c>
      <c r="F8" s="13" t="s">
        <v>93</v>
      </c>
      <c r="H8" s="13" t="s">
        <v>115</v>
      </c>
      <c r="J8" s="13" t="s">
        <v>28</v>
      </c>
      <c r="K8" s="31">
        <f t="shared" si="0"/>
        <v>8</v>
      </c>
      <c r="L8" s="42" t="s">
        <v>8</v>
      </c>
      <c r="M8" s="28">
        <v>16.3</v>
      </c>
      <c r="N8" s="28">
        <v>9.65</v>
      </c>
      <c r="O8" s="28">
        <v>9.83</v>
      </c>
      <c r="P8" s="28">
        <v>14.8</v>
      </c>
      <c r="Q8" s="28">
        <v>10</v>
      </c>
      <c r="R8" s="28">
        <v>9.93</v>
      </c>
    </row>
    <row r="9" spans="1:18" ht="15.6" x14ac:dyDescent="0.3">
      <c r="C9"/>
      <c r="D9" s="13" t="s">
        <v>14</v>
      </c>
      <c r="F9" s="13" t="s">
        <v>64</v>
      </c>
      <c r="H9" s="13" t="s">
        <v>116</v>
      </c>
      <c r="J9" s="13" t="s">
        <v>33</v>
      </c>
      <c r="K9" s="31">
        <f t="shared" si="0"/>
        <v>9</v>
      </c>
      <c r="L9" s="42" t="s">
        <v>54</v>
      </c>
      <c r="M9" s="34">
        <v>40574</v>
      </c>
      <c r="N9" s="34" t="s">
        <v>53</v>
      </c>
      <c r="O9" s="34" t="s">
        <v>52</v>
      </c>
      <c r="P9" s="34" t="s">
        <v>51</v>
      </c>
      <c r="Q9" s="34" t="s">
        <v>51</v>
      </c>
      <c r="R9" s="34" t="s">
        <v>50</v>
      </c>
    </row>
    <row r="10" spans="1:18" x14ac:dyDescent="0.3">
      <c r="D10" s="13" t="s">
        <v>21</v>
      </c>
      <c r="F10" s="13" t="s">
        <v>16</v>
      </c>
      <c r="H10" s="13" t="s">
        <v>117</v>
      </c>
      <c r="J10" s="13" t="s">
        <v>167</v>
      </c>
      <c r="K10" s="31">
        <f t="shared" si="0"/>
        <v>10</v>
      </c>
      <c r="L10" s="42" t="s">
        <v>49</v>
      </c>
      <c r="M10" s="30" t="s">
        <v>48</v>
      </c>
      <c r="N10" s="30" t="s">
        <v>47</v>
      </c>
      <c r="O10" s="30" t="s">
        <v>48</v>
      </c>
      <c r="P10" s="30" t="s">
        <v>47</v>
      </c>
      <c r="Q10" s="30" t="s">
        <v>47</v>
      </c>
      <c r="R10" s="30" t="s">
        <v>47</v>
      </c>
    </row>
    <row r="11" spans="1:18" x14ac:dyDescent="0.3">
      <c r="B11" s="13" t="s">
        <v>129</v>
      </c>
      <c r="H11" s="13" t="s">
        <v>118</v>
      </c>
      <c r="J11" s="13" t="s">
        <v>59</v>
      </c>
      <c r="K11" s="31">
        <f t="shared" si="0"/>
        <v>11</v>
      </c>
      <c r="L11" s="42" t="s">
        <v>56</v>
      </c>
      <c r="M11" s="30" t="s">
        <v>168</v>
      </c>
      <c r="N11" s="30" t="s">
        <v>57</v>
      </c>
      <c r="O11" s="30" t="s">
        <v>29</v>
      </c>
      <c r="P11" s="30" t="s">
        <v>29</v>
      </c>
      <c r="Q11" s="30" t="s">
        <v>29</v>
      </c>
      <c r="R11" s="30" t="s">
        <v>29</v>
      </c>
    </row>
    <row r="12" spans="1:18" ht="16.2" x14ac:dyDescent="0.3">
      <c r="B12" s="13" t="s">
        <v>130</v>
      </c>
      <c r="H12" s="13" t="s">
        <v>119</v>
      </c>
      <c r="J12" s="13" t="s">
        <v>80</v>
      </c>
      <c r="K12" s="31">
        <f t="shared" si="0"/>
        <v>12</v>
      </c>
      <c r="L12" s="42" t="s">
        <v>65</v>
      </c>
      <c r="M12" s="30"/>
      <c r="N12" s="30"/>
      <c r="O12" s="30"/>
      <c r="P12" s="30" t="s">
        <v>68</v>
      </c>
      <c r="Q12" s="30" t="s">
        <v>70</v>
      </c>
      <c r="R12" s="30"/>
    </row>
    <row r="13" spans="1:18" x14ac:dyDescent="0.3">
      <c r="B13" s="13" t="s">
        <v>127</v>
      </c>
      <c r="D13" s="19" t="s">
        <v>137</v>
      </c>
      <c r="F13" s="35">
        <v>46266</v>
      </c>
      <c r="H13" s="13" t="s">
        <v>120</v>
      </c>
      <c r="J13" s="13" t="str">
        <f>F25&amp;" has not been provided"</f>
        <v>0 has not been provided</v>
      </c>
      <c r="K13" s="31">
        <f t="shared" si="0"/>
        <v>13</v>
      </c>
      <c r="L13" s="42" t="s">
        <v>66</v>
      </c>
      <c r="M13" s="30">
        <v>6</v>
      </c>
      <c r="N13" s="30">
        <v>5</v>
      </c>
      <c r="O13" s="30">
        <v>5</v>
      </c>
      <c r="P13" s="30">
        <v>6</v>
      </c>
      <c r="Q13" s="30">
        <v>6</v>
      </c>
      <c r="R13" s="30">
        <v>6</v>
      </c>
    </row>
    <row r="14" spans="1:18" x14ac:dyDescent="0.3">
      <c r="B14" s="13" t="s">
        <v>128</v>
      </c>
      <c r="D14" s="19" t="s">
        <v>38</v>
      </c>
      <c r="F14" s="36" t="s">
        <v>123</v>
      </c>
      <c r="H14" s="13" t="s">
        <v>16</v>
      </c>
      <c r="K14" s="31">
        <f t="shared" si="0"/>
        <v>14</v>
      </c>
      <c r="L14" s="42" t="s">
        <v>78</v>
      </c>
      <c r="M14" s="38" t="s">
        <v>91</v>
      </c>
      <c r="N14" s="38" t="s">
        <v>91</v>
      </c>
      <c r="O14" s="37"/>
      <c r="P14" s="38" t="s">
        <v>91</v>
      </c>
      <c r="Q14" s="38" t="s">
        <v>72</v>
      </c>
      <c r="R14" s="38" t="s">
        <v>73</v>
      </c>
    </row>
    <row r="15" spans="1:18" x14ac:dyDescent="0.3">
      <c r="D15" s="19" t="s">
        <v>3</v>
      </c>
      <c r="F15" s="28">
        <f>HLOOKUP($F$14,$M$1:$R$23,2)</f>
        <v>1</v>
      </c>
      <c r="G15" s="30" t="str">
        <f>TEXT(F15,"0.00")</f>
        <v>1.00</v>
      </c>
      <c r="J15" s="13" t="s">
        <v>100</v>
      </c>
      <c r="K15" s="31">
        <f t="shared" si="0"/>
        <v>15</v>
      </c>
      <c r="L15" s="42" t="s">
        <v>77</v>
      </c>
      <c r="M15" s="30" t="s">
        <v>79</v>
      </c>
      <c r="N15" s="30" t="s">
        <v>79</v>
      </c>
      <c r="O15" s="30" t="s">
        <v>79</v>
      </c>
      <c r="P15" s="30" t="s">
        <v>79</v>
      </c>
      <c r="Q15" s="30" t="s">
        <v>79</v>
      </c>
      <c r="R15" s="30" t="s">
        <v>79</v>
      </c>
    </row>
    <row r="16" spans="1:18" x14ac:dyDescent="0.3">
      <c r="D16" s="19" t="s">
        <v>4</v>
      </c>
      <c r="F16" s="28">
        <f>HLOOKUP($F$14,$M$1:$R$23,3)</f>
        <v>6.02</v>
      </c>
      <c r="K16" s="31">
        <f t="shared" si="0"/>
        <v>16</v>
      </c>
      <c r="L16" s="42" t="s">
        <v>90</v>
      </c>
      <c r="M16" s="30">
        <v>6</v>
      </c>
      <c r="N16" s="30">
        <v>6</v>
      </c>
      <c r="O16" s="30">
        <v>6</v>
      </c>
      <c r="P16" s="30">
        <v>6</v>
      </c>
      <c r="Q16" s="30">
        <v>6</v>
      </c>
      <c r="R16" s="30">
        <v>6</v>
      </c>
    </row>
    <row r="17" spans="4:18" x14ac:dyDescent="0.3">
      <c r="D17" s="19" t="s">
        <v>5</v>
      </c>
      <c r="F17" s="28">
        <f>HLOOKUP($F$14,$M$1:$R$23,4)</f>
        <v>7.68</v>
      </c>
      <c r="G17" s="39"/>
      <c r="J17" s="13" t="s">
        <v>92</v>
      </c>
      <c r="K17" s="31">
        <f t="shared" si="0"/>
        <v>17</v>
      </c>
      <c r="L17" s="42" t="s">
        <v>89</v>
      </c>
      <c r="M17" s="30" t="s">
        <v>32</v>
      </c>
      <c r="N17" s="30" t="s">
        <v>32</v>
      </c>
      <c r="O17" s="30" t="s">
        <v>32</v>
      </c>
      <c r="P17" s="30" t="s">
        <v>32</v>
      </c>
      <c r="Q17" s="30" t="s">
        <v>41</v>
      </c>
      <c r="R17" s="30" t="s">
        <v>32</v>
      </c>
    </row>
    <row r="18" spans="4:18" x14ac:dyDescent="0.3">
      <c r="D18" s="19" t="s">
        <v>6</v>
      </c>
      <c r="F18" s="28">
        <f>HLOOKUP($F$14,$M$1:$R$23,5)</f>
        <v>9.26</v>
      </c>
      <c r="J18" s="13" t="str">
        <f>"Outlet Control Structure Velocity &gt; "&amp;F26&amp;" ft/s"</f>
        <v>Outlet Control Structure Velocity &gt; 6 ft/s</v>
      </c>
      <c r="K18" s="31">
        <f t="shared" si="0"/>
        <v>18</v>
      </c>
      <c r="L18" s="42" t="s">
        <v>94</v>
      </c>
      <c r="M18" s="30">
        <v>2</v>
      </c>
      <c r="N18" s="30">
        <v>10</v>
      </c>
      <c r="O18" s="30">
        <v>2</v>
      </c>
      <c r="P18" s="30">
        <v>2</v>
      </c>
      <c r="Q18" s="30">
        <v>25</v>
      </c>
      <c r="R18" s="30">
        <v>25</v>
      </c>
    </row>
    <row r="19" spans="4:18" x14ac:dyDescent="0.3">
      <c r="D19" s="19" t="s">
        <v>7</v>
      </c>
      <c r="F19" s="28">
        <f>HLOOKUP($F$14,$M$1:$R$23,6)</f>
        <v>11.7</v>
      </c>
      <c r="J19" s="13" t="s">
        <v>102</v>
      </c>
      <c r="K19" s="31">
        <f t="shared" si="0"/>
        <v>19</v>
      </c>
      <c r="L19" s="42" t="s">
        <v>104</v>
      </c>
      <c r="M19" s="30" t="str">
        <f t="shared" ref="M19:R19" si="1">VLOOKUP(M18,$K$27:$L$32,2)</f>
        <v>2, 5, 10, 25, 50, and 100</v>
      </c>
      <c r="N19" s="30" t="str">
        <f t="shared" si="1"/>
        <v>10, 25, 50, and 100</v>
      </c>
      <c r="O19" s="30" t="str">
        <f t="shared" si="1"/>
        <v>2, 5, 10, 25, 50, and 100</v>
      </c>
      <c r="P19" s="30" t="str">
        <f t="shared" si="1"/>
        <v>2, 5, 10, 25, 50, and 100</v>
      </c>
      <c r="Q19" s="30" t="str">
        <f t="shared" si="1"/>
        <v>25, 50, and 100</v>
      </c>
      <c r="R19" s="30" t="str">
        <f t="shared" si="1"/>
        <v>25, 50, and 100</v>
      </c>
    </row>
    <row r="20" spans="4:18" x14ac:dyDescent="0.3">
      <c r="D20" s="19" t="s">
        <v>76</v>
      </c>
      <c r="F20" s="28">
        <f>HLOOKUP($F$14,$M$1:$R$23,7)</f>
        <v>13.9</v>
      </c>
      <c r="J20" s="13" t="s">
        <v>122</v>
      </c>
      <c r="K20" s="31">
        <f t="shared" si="0"/>
        <v>20</v>
      </c>
      <c r="L20" s="42" t="s">
        <v>95</v>
      </c>
      <c r="M20" s="30" t="s">
        <v>32</v>
      </c>
      <c r="N20" s="30" t="s">
        <v>41</v>
      </c>
      <c r="O20" s="30" t="s">
        <v>32</v>
      </c>
      <c r="P20" s="30" t="s">
        <v>41</v>
      </c>
      <c r="Q20" s="30" t="s">
        <v>41</v>
      </c>
      <c r="R20" s="30" t="s">
        <v>41</v>
      </c>
    </row>
    <row r="21" spans="4:18" x14ac:dyDescent="0.3">
      <c r="D21" s="19" t="s">
        <v>8</v>
      </c>
      <c r="F21" s="28">
        <f>HLOOKUP($F$14,$M$1:$R$23,8)</f>
        <v>16.3</v>
      </c>
      <c r="J21" s="13" t="str">
        <f>"Slope of the bottom of the detention pond  &lt; "&amp;F38&amp;".00%"</f>
        <v>Slope of the bottom of the detention pond  &lt; 1.00%</v>
      </c>
      <c r="K21" s="31">
        <f t="shared" si="0"/>
        <v>21</v>
      </c>
      <c r="L21" s="42" t="s">
        <v>96</v>
      </c>
      <c r="M21" s="30">
        <v>2</v>
      </c>
      <c r="N21" s="30">
        <v>2</v>
      </c>
      <c r="O21" s="30">
        <v>2</v>
      </c>
      <c r="P21" s="30">
        <v>2</v>
      </c>
      <c r="Q21" s="30">
        <v>25</v>
      </c>
      <c r="R21" s="30">
        <v>25</v>
      </c>
    </row>
    <row r="22" spans="4:18" x14ac:dyDescent="0.3">
      <c r="D22" s="19" t="s">
        <v>54</v>
      </c>
      <c r="F22" s="28">
        <f>HLOOKUP($F$14,$M$1:$R$23,9)</f>
        <v>40574</v>
      </c>
      <c r="K22" s="31">
        <f t="shared" si="0"/>
        <v>22</v>
      </c>
      <c r="L22" s="42" t="s">
        <v>105</v>
      </c>
      <c r="M22" s="30" t="str">
        <f t="shared" ref="M22:R22" si="2">VLOOKUP(M21,$K$27:$L$32,2)</f>
        <v>2, 5, 10, 25, 50, and 100</v>
      </c>
      <c r="N22" s="30" t="str">
        <f t="shared" si="2"/>
        <v>2, 5, 10, 25, 50, and 100</v>
      </c>
      <c r="O22" s="30" t="str">
        <f t="shared" si="2"/>
        <v>2, 5, 10, 25, 50, and 100</v>
      </c>
      <c r="P22" s="30" t="str">
        <f t="shared" si="2"/>
        <v>2, 5, 10, 25, 50, and 100</v>
      </c>
      <c r="Q22" s="30" t="str">
        <f t="shared" si="2"/>
        <v>25, 50, and 100</v>
      </c>
      <c r="R22" s="30" t="str">
        <f t="shared" si="2"/>
        <v>25, 50, and 100</v>
      </c>
    </row>
    <row r="23" spans="4:18" x14ac:dyDescent="0.3">
      <c r="D23" s="19" t="s">
        <v>55</v>
      </c>
      <c r="F23" s="40" t="str">
        <f>HLOOKUP($F$14,$M$1:$R$23,10)</f>
        <v>County</v>
      </c>
      <c r="K23" s="31">
        <f t="shared" si="0"/>
        <v>23</v>
      </c>
      <c r="L23" s="42" t="s">
        <v>103</v>
      </c>
      <c r="M23" s="30" t="s">
        <v>170</v>
      </c>
      <c r="N23" s="30" t="s">
        <v>169</v>
      </c>
      <c r="O23" s="30" t="s">
        <v>169</v>
      </c>
      <c r="P23" s="30" t="s">
        <v>169</v>
      </c>
      <c r="Q23" s="30" t="s">
        <v>171</v>
      </c>
      <c r="R23" s="30" t="s">
        <v>169</v>
      </c>
    </row>
    <row r="24" spans="4:18" x14ac:dyDescent="0.3">
      <c r="D24" s="19" t="s">
        <v>56</v>
      </c>
      <c r="F24" s="40" t="str">
        <f>HLOOKUP($F$14,$M$1:$R$23,11)</f>
        <v xml:space="preserve"> O&amp;M Plan</v>
      </c>
      <c r="I24" s="44"/>
      <c r="K24" s="31">
        <v>24</v>
      </c>
      <c r="L24" s="42" t="s">
        <v>143</v>
      </c>
      <c r="M24" s="30">
        <v>1</v>
      </c>
      <c r="N24" s="30">
        <v>2</v>
      </c>
      <c r="O24" s="30">
        <v>2</v>
      </c>
      <c r="P24" s="30">
        <v>2</v>
      </c>
      <c r="Q24" s="30">
        <v>2</v>
      </c>
      <c r="R24" s="30">
        <v>2</v>
      </c>
    </row>
    <row r="25" spans="4:18" x14ac:dyDescent="0.3">
      <c r="D25" s="19" t="s">
        <v>65</v>
      </c>
      <c r="F25" s="30">
        <f>HLOOKUP($F$14,$M$1:$R$23,12)</f>
        <v>0</v>
      </c>
      <c r="I25" s="44"/>
      <c r="K25" s="13">
        <v>25</v>
      </c>
      <c r="L25" s="42" t="s">
        <v>144</v>
      </c>
      <c r="M25" s="30" t="s">
        <v>123</v>
      </c>
      <c r="N25" s="30" t="s">
        <v>145</v>
      </c>
      <c r="O25" s="30" t="s">
        <v>146</v>
      </c>
      <c r="P25" s="30" t="s">
        <v>147</v>
      </c>
      <c r="Q25" s="30" t="s">
        <v>148</v>
      </c>
      <c r="R25" s="30" t="s">
        <v>149</v>
      </c>
    </row>
    <row r="26" spans="4:18" x14ac:dyDescent="0.3">
      <c r="D26" s="19" t="s">
        <v>66</v>
      </c>
      <c r="F26" s="30">
        <f>HLOOKUP($F$14,$M$1:$R$23,13)</f>
        <v>6</v>
      </c>
      <c r="I26" s="44"/>
      <c r="K26" s="32" t="s">
        <v>110</v>
      </c>
      <c r="L26" s="32" t="s">
        <v>111</v>
      </c>
      <c r="M26" s="32"/>
    </row>
    <row r="27" spans="4:18" x14ac:dyDescent="0.3">
      <c r="D27" s="19" t="s">
        <v>71</v>
      </c>
      <c r="F27" s="37" t="str">
        <f>HLOOKUP($F$14,$M$1:$R$23,14)</f>
        <v>31 December</v>
      </c>
      <c r="I27" s="44"/>
      <c r="K27" s="13">
        <v>2</v>
      </c>
      <c r="L27" s="19" t="s">
        <v>79</v>
      </c>
      <c r="M27" s="19"/>
    </row>
    <row r="28" spans="4:18" x14ac:dyDescent="0.3">
      <c r="D28" s="19" t="s">
        <v>77</v>
      </c>
      <c r="E28" s="41">
        <f>HLOOKUP($F$14,$M$1:$R$23,16)</f>
        <v>6</v>
      </c>
      <c r="F28" s="37" t="str">
        <f>HLOOKUP($F$14,$M$1:$R$23,15)</f>
        <v>2, 5, 10, 25, 50, and 100</v>
      </c>
      <c r="I28" s="44"/>
      <c r="K28" s="13">
        <v>5</v>
      </c>
      <c r="L28" s="19" t="s">
        <v>106</v>
      </c>
      <c r="M28" s="19"/>
    </row>
    <row r="29" spans="4:18" x14ac:dyDescent="0.3">
      <c r="D29" s="19" t="s">
        <v>89</v>
      </c>
      <c r="E29" s="41"/>
      <c r="F29" s="37" t="str">
        <f>HLOOKUP($F$14,$M$1:$R$23,17)</f>
        <v>No</v>
      </c>
      <c r="I29" s="44"/>
      <c r="K29" s="13">
        <v>10</v>
      </c>
      <c r="L29" s="19" t="s">
        <v>107</v>
      </c>
      <c r="M29" s="19"/>
    </row>
    <row r="30" spans="4:18" x14ac:dyDescent="0.3">
      <c r="D30" s="19" t="s">
        <v>94</v>
      </c>
      <c r="E30" s="41"/>
      <c r="F30" s="41">
        <f>HLOOKUP($F$14,$M$1:$R$23,18)</f>
        <v>2</v>
      </c>
      <c r="I30" s="44"/>
      <c r="K30" s="13">
        <v>25</v>
      </c>
      <c r="L30" s="19" t="s">
        <v>108</v>
      </c>
      <c r="M30" s="19"/>
    </row>
    <row r="31" spans="4:18" x14ac:dyDescent="0.3">
      <c r="D31" s="19" t="s">
        <v>104</v>
      </c>
      <c r="E31" s="41"/>
      <c r="F31" s="41" t="str">
        <f>HLOOKUP($F$14,$M$1:$R$23,19)</f>
        <v>2, 5, 10, 25, 50, and 100</v>
      </c>
      <c r="I31" s="44"/>
      <c r="K31" s="13">
        <v>50</v>
      </c>
      <c r="L31" s="19" t="s">
        <v>109</v>
      </c>
      <c r="M31" s="19"/>
    </row>
    <row r="32" spans="4:18" x14ac:dyDescent="0.3">
      <c r="D32" s="19" t="s">
        <v>95</v>
      </c>
      <c r="E32" s="41"/>
      <c r="F32" s="37" t="str">
        <f>HLOOKUP($F$14,$M$1:$R$23,20)</f>
        <v>No</v>
      </c>
      <c r="I32" s="44"/>
      <c r="K32" s="13">
        <v>100</v>
      </c>
      <c r="L32" s="19">
        <v>100</v>
      </c>
      <c r="M32" s="19"/>
    </row>
    <row r="33" spans="4:13" x14ac:dyDescent="0.3">
      <c r="D33" s="19" t="s">
        <v>96</v>
      </c>
      <c r="E33" s="41"/>
      <c r="F33" s="41">
        <f>HLOOKUP($F$14,$M$1:$R$23,21)</f>
        <v>2</v>
      </c>
    </row>
    <row r="34" spans="4:13" x14ac:dyDescent="0.3">
      <c r="D34" s="19" t="s">
        <v>105</v>
      </c>
      <c r="E34" s="41"/>
      <c r="F34" s="41" t="str">
        <f>HLOOKUP($F$14,$M$1:$R$23,22)</f>
        <v>2, 5, 10, 25, 50, and 100</v>
      </c>
      <c r="L34" s="32" t="s">
        <v>114</v>
      </c>
      <c r="M34" s="32"/>
    </row>
    <row r="35" spans="4:13" x14ac:dyDescent="0.3">
      <c r="D35" s="19" t="s">
        <v>112</v>
      </c>
      <c r="E35" s="41"/>
      <c r="F35" s="41">
        <f>MIN(F30,F33)</f>
        <v>2</v>
      </c>
      <c r="L35" s="30" t="s">
        <v>41</v>
      </c>
      <c r="M35" s="30"/>
    </row>
    <row r="36" spans="4:13" x14ac:dyDescent="0.3">
      <c r="D36" s="19" t="s">
        <v>113</v>
      </c>
      <c r="E36" s="41"/>
      <c r="F36" s="30" t="str">
        <f>VLOOKUP(F35,$K$27:$L$32,2)</f>
        <v>2, 5, 10, 25, 50, and 100</v>
      </c>
      <c r="L36" s="30" t="s">
        <v>32</v>
      </c>
      <c r="M36" s="30"/>
    </row>
    <row r="37" spans="4:13" x14ac:dyDescent="0.3">
      <c r="D37" s="19" t="s">
        <v>103</v>
      </c>
      <c r="E37" s="41"/>
      <c r="F37" s="41" t="str">
        <f>HLOOKUP($F$14,$M$1:$R$23,23)</f>
        <v>Drainage Rights</v>
      </c>
    </row>
    <row r="38" spans="4:13" x14ac:dyDescent="0.3">
      <c r="D38" s="19" t="s">
        <v>143</v>
      </c>
      <c r="E38" s="41"/>
      <c r="F38" s="66">
        <f>HLOOKUP($F$14,$M$1:$R$24,24)</f>
        <v>1</v>
      </c>
    </row>
    <row r="39" spans="4:13" x14ac:dyDescent="0.3">
      <c r="D39" s="19" t="s">
        <v>144</v>
      </c>
      <c r="F39" s="41" t="str">
        <f>HLOOKUP($F$14,$M$1:$R$25,25)</f>
        <v>Baldwin County</v>
      </c>
      <c r="H39" s="31" t="s">
        <v>58</v>
      </c>
    </row>
    <row r="40" spans="4:13" ht="64.95" customHeight="1" x14ac:dyDescent="0.3">
      <c r="E40" s="43" t="s">
        <v>123</v>
      </c>
    </row>
    <row r="41" spans="4:13" ht="64.95" customHeight="1" x14ac:dyDescent="0.3">
      <c r="E41" s="19" t="s">
        <v>35</v>
      </c>
    </row>
    <row r="42" spans="4:13" ht="64.95" customHeight="1" x14ac:dyDescent="0.3">
      <c r="E42" s="19" t="s">
        <v>46</v>
      </c>
    </row>
    <row r="43" spans="4:13" ht="64.95" customHeight="1" x14ac:dyDescent="0.3">
      <c r="E43" s="19" t="s">
        <v>37</v>
      </c>
    </row>
    <row r="44" spans="4:13" ht="64.95" customHeight="1" x14ac:dyDescent="0.3">
      <c r="E44" s="19" t="s">
        <v>34</v>
      </c>
    </row>
    <row r="45" spans="4:13" ht="64.95" customHeight="1" x14ac:dyDescent="0.3">
      <c r="E45" s="19" t="s">
        <v>36</v>
      </c>
    </row>
  </sheetData>
  <sheetProtection algorithmName="SHA-512" hashValue="FJ7J+YReO5VO06jZKisvZ5z94ha2zqW0VktEO4k9VXVZGMDOyj1EEb7WzACoLU9Ep4L4dY2XaIFEdoaJ0P3uwA==" saltValue="oQj8OFvSkbPbefkiYymd9A==" spinCount="100000" sheet="1" objects="1" scenarios="1"/>
  <sortState xmlns:xlrd2="http://schemas.microsoft.com/office/spreadsheetml/2017/richdata2" ref="D19:F24">
    <sortCondition ref="E19:E24"/>
  </sortState>
  <mergeCells count="1">
    <mergeCell ref="A1:B1"/>
  </mergeCells>
  <dataValidations count="3">
    <dataValidation type="list" allowBlank="1" showInputMessage="1" showErrorMessage="1" sqref="F14" xr:uid="{EBBE6338-4834-4C9B-9848-CE10F23E26FB}">
      <formula1>$M$1:$R$1</formula1>
    </dataValidation>
    <dataValidation type="list" allowBlank="1" showInputMessage="1" showErrorMessage="1" sqref="M18:R18 M21:R21" xr:uid="{D6B58A4C-7C48-4FE3-8A25-E00DA256AA5E}">
      <formula1>$K$27:$K$32</formula1>
    </dataValidation>
    <dataValidation type="list" allowBlank="1" showInputMessage="1" showErrorMessage="1" sqref="M17:R17 M20:R20" xr:uid="{28435609-2046-43BD-A9F3-08D43EFBFA74}">
      <formula1>$L$35:$L$36</formula1>
    </dataValidation>
  </dataValidations>
  <pageMargins left="0.7" right="0.7" top="0.75" bottom="0.75" header="0.3" footer="0.3"/>
  <pageSetup orientation="portrait" horizontalDpi="1200" verticalDpi="1200" r:id="rId1"/>
  <drawing r:id="rId2"/>
  <legacyDrawing r:id="rId3"/>
  <tableParts count="8">
    <tablePart r:id="rId4"/>
    <tablePart r:id="rId5"/>
    <tablePart r:id="rId6"/>
    <tablePart r:id="rId7"/>
    <tablePart r:id="rId8"/>
    <tablePart r:id="rId9"/>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90F5-78AD-482F-B053-1304FA695CE7}">
  <sheetPr codeName="Sheet1">
    <tabColor theme="2" tint="-0.499984740745262"/>
    <pageSetUpPr fitToPage="1"/>
  </sheetPr>
  <dimension ref="A1:T55"/>
  <sheetViews>
    <sheetView showGridLines="0" showRowColHeaders="0" tabSelected="1" zoomScale="130" zoomScaleNormal="130" workbookViewId="0">
      <pane ySplit="3" topLeftCell="A5" activePane="bottomLeft" state="frozen"/>
      <selection pane="bottomLeft" activeCell="F2" sqref="F2"/>
    </sheetView>
  </sheetViews>
  <sheetFormatPr defaultColWidth="8.88671875" defaultRowHeight="19.95" customHeight="1" x14ac:dyDescent="0.3"/>
  <cols>
    <col min="1" max="1" width="8.88671875" style="48" hidden="1" customWidth="1"/>
    <col min="2" max="2" width="2.77734375" style="21" customWidth="1"/>
    <col min="3" max="3" width="5.77734375" style="20" customWidth="1"/>
    <col min="4" max="4" width="24.77734375" style="21" customWidth="1"/>
    <col min="5" max="5" width="4.77734375" style="21" customWidth="1"/>
    <col min="6" max="6" width="20.5546875" style="21" customWidth="1"/>
    <col min="7" max="11" width="8.88671875" style="21" customWidth="1"/>
    <col min="12" max="13" width="10.77734375" style="21" customWidth="1"/>
    <col min="14" max="14" width="8.88671875" style="21" customWidth="1"/>
    <col min="15" max="16" width="10.77734375" style="21" customWidth="1"/>
    <col min="17" max="18" width="8.88671875" style="21" customWidth="1"/>
    <col min="19" max="19" width="8.88671875" customWidth="1"/>
    <col min="20" max="26" width="8.88671875" style="21" customWidth="1"/>
    <col min="27" max="16384" width="8.88671875" style="21"/>
  </cols>
  <sheetData>
    <row r="1" spans="1:20" ht="19.95" customHeight="1" x14ac:dyDescent="0.3">
      <c r="C1" s="22" t="s">
        <v>172</v>
      </c>
      <c r="N1" s="47" t="s">
        <v>124</v>
      </c>
      <c r="O1" s="98">
        <f>Tables!F13</f>
        <v>46266</v>
      </c>
      <c r="P1" s="98"/>
      <c r="Q1" s="96"/>
      <c r="R1" s="96"/>
      <c r="S1" s="96"/>
    </row>
    <row r="2" spans="1:20" ht="19.95" customHeight="1" x14ac:dyDescent="0.3">
      <c r="A2" s="49">
        <f>IF(OR(F2="I ACCEPT",F2="I DO NOT ACCEPT"),1,2)</f>
        <v>2</v>
      </c>
      <c r="E2" s="47" t="s">
        <v>126</v>
      </c>
      <c r="F2" s="61" t="s">
        <v>130</v>
      </c>
      <c r="N2" s="47" t="s">
        <v>140</v>
      </c>
      <c r="O2" s="98">
        <f>Tables!B6</f>
        <v>46661</v>
      </c>
      <c r="P2" s="98"/>
      <c r="Q2" s="96"/>
      <c r="R2" s="96"/>
      <c r="S2" s="96"/>
    </row>
    <row r="3" spans="1:20" ht="19.95" customHeight="1" x14ac:dyDescent="0.3">
      <c r="A3" s="49">
        <f ca="1">IF(F3="Workbook is Locked and Unavailable",2,1)</f>
        <v>2</v>
      </c>
      <c r="E3" s="47" t="s">
        <v>132</v>
      </c>
      <c r="F3" s="97" t="str">
        <f ca="1">IF(Tables!$B$8,"Workbook is Active","Workbook is Locked and Unavailable")</f>
        <v>Workbook is Locked and Unavailable</v>
      </c>
      <c r="G3" s="97"/>
      <c r="H3" s="97"/>
    </row>
    <row r="4" spans="1:20" ht="19.95" hidden="1" customHeight="1" x14ac:dyDescent="0.3">
      <c r="B4" s="48"/>
      <c r="C4" s="50"/>
      <c r="D4" s="48"/>
      <c r="E4" s="65" t="s">
        <v>131</v>
      </c>
      <c r="F4" s="64"/>
      <c r="G4" s="48"/>
      <c r="H4" s="48"/>
      <c r="I4" s="48"/>
      <c r="J4" s="48"/>
      <c r="K4" s="48"/>
      <c r="L4" s="48"/>
      <c r="M4" s="48"/>
      <c r="N4" s="48"/>
      <c r="O4" s="48"/>
      <c r="P4" s="48"/>
      <c r="Q4" s="48"/>
      <c r="R4" s="48"/>
      <c r="S4" s="48"/>
      <c r="T4" s="48"/>
    </row>
    <row r="6" spans="1:20" ht="19.95" customHeight="1" x14ac:dyDescent="0.3">
      <c r="D6" s="62"/>
      <c r="E6" s="62" t="s">
        <v>125</v>
      </c>
      <c r="F6" s="21" t="s">
        <v>195</v>
      </c>
    </row>
    <row r="7" spans="1:20" ht="19.95" customHeight="1" x14ac:dyDescent="0.3">
      <c r="D7" s="62"/>
      <c r="E7" s="63"/>
      <c r="F7" s="21" t="str">
        <f>"By clicking I ACCEPT, you represent that you are (a) preparing a post-construction submittal for "&amp;Tables!$F$39&amp;" and/or"</f>
        <v>By clicking I ACCEPT, you represent that you are (a) preparing a post-construction submittal for Baldwin County and/or</v>
      </c>
    </row>
    <row r="8" spans="1:20" ht="19.95" customHeight="1" x14ac:dyDescent="0.3">
      <c r="D8" s="62"/>
      <c r="E8" s="63"/>
      <c r="F8" s="21" t="s">
        <v>174</v>
      </c>
    </row>
    <row r="9" spans="1:20" ht="19.95" customHeight="1" x14ac:dyDescent="0.3">
      <c r="D9" s="62"/>
      <c r="E9" s="63"/>
      <c r="F9" s="21" t="s">
        <v>173</v>
      </c>
    </row>
    <row r="10" spans="1:20" ht="19.95" customHeight="1" x14ac:dyDescent="0.3">
      <c r="D10" s="62"/>
      <c r="E10" s="63"/>
    </row>
    <row r="11" spans="1:20" ht="19.95" customHeight="1" x14ac:dyDescent="0.3">
      <c r="D11" s="62">
        <v>1</v>
      </c>
      <c r="E11" s="9" t="s">
        <v>175</v>
      </c>
    </row>
    <row r="12" spans="1:20" ht="19.95" customHeight="1" x14ac:dyDescent="0.3">
      <c r="D12" s="62"/>
      <c r="E12" s="63"/>
      <c r="F12" s="21" t="s">
        <v>150</v>
      </c>
    </row>
    <row r="13" spans="1:20" ht="19.95" customHeight="1" x14ac:dyDescent="0.3">
      <c r="D13" s="62"/>
      <c r="E13" s="63"/>
      <c r="F13" s="21" t="str">
        <f>"and submit post-construction application materials to "&amp;Tables!$F$39&amp;" and for the User's internal recordkeeping for those"</f>
        <v>and submit post-construction application materials to Baldwin County and for the User's internal recordkeeping for those</v>
      </c>
    </row>
    <row r="14" spans="1:20" ht="19.95" customHeight="1" x14ac:dyDescent="0.3">
      <c r="D14" s="62"/>
      <c r="E14" s="63"/>
      <c r="F14" s="21" t="s">
        <v>151</v>
      </c>
    </row>
    <row r="15" spans="1:20" ht="19.95" customHeight="1" x14ac:dyDescent="0.3">
      <c r="D15" s="62"/>
      <c r="E15" s="63"/>
      <c r="F15" s="21" t="s">
        <v>176</v>
      </c>
    </row>
    <row r="16" spans="1:20" ht="19.95" customHeight="1" x14ac:dyDescent="0.3">
      <c r="D16" s="62">
        <v>2</v>
      </c>
      <c r="E16" s="9" t="s">
        <v>152</v>
      </c>
    </row>
    <row r="17" spans="4:6" ht="19.95" customHeight="1" x14ac:dyDescent="0.3">
      <c r="D17" s="62"/>
      <c r="E17" s="63"/>
      <c r="F17" s="21" t="s">
        <v>153</v>
      </c>
    </row>
    <row r="18" spans="4:6" ht="19.95" customHeight="1" x14ac:dyDescent="0.3">
      <c r="D18" s="62"/>
      <c r="E18" s="63"/>
      <c r="F18" s="21" t="s">
        <v>154</v>
      </c>
    </row>
    <row r="19" spans="4:6" ht="19.95" customHeight="1" x14ac:dyDescent="0.3">
      <c r="D19" s="62">
        <v>3</v>
      </c>
      <c r="E19" s="63" t="s">
        <v>155</v>
      </c>
    </row>
    <row r="20" spans="4:6" ht="19.95" customHeight="1" x14ac:dyDescent="0.3">
      <c r="D20" s="62"/>
      <c r="E20" s="63"/>
      <c r="F20" s="21" t="s">
        <v>164</v>
      </c>
    </row>
    <row r="21" spans="4:6" ht="19.95" customHeight="1" x14ac:dyDescent="0.3">
      <c r="D21" s="62"/>
      <c r="E21" s="63"/>
      <c r="F21" s="21" t="s">
        <v>177</v>
      </c>
    </row>
    <row r="22" spans="4:6" ht="19.95" customHeight="1" x14ac:dyDescent="0.3">
      <c r="D22" s="62"/>
      <c r="E22" s="63"/>
      <c r="F22" s="21" t="str">
        <f>"forms to the "&amp;Tables!$F$23&amp;" as intended.  The "&amp;Tables!$F$23&amp;" may host and distribute the unmodified Tool to prospective submitters for"</f>
        <v>forms to the County as intended.  The County may host and distribute the unmodified Tool to prospective submitters for</v>
      </c>
    </row>
    <row r="23" spans="4:6" ht="19.95" customHeight="1" x14ac:dyDescent="0.3">
      <c r="D23" s="62"/>
      <c r="E23" s="63"/>
      <c r="F23" s="21" t="s">
        <v>196</v>
      </c>
    </row>
    <row r="24" spans="4:6" ht="19.95" customHeight="1" x14ac:dyDescent="0.3">
      <c r="D24" s="62">
        <v>4</v>
      </c>
      <c r="E24" s="63" t="s">
        <v>156</v>
      </c>
    </row>
    <row r="25" spans="4:6" ht="19.95" customHeight="1" x14ac:dyDescent="0.3">
      <c r="D25" s="62"/>
      <c r="E25" s="63"/>
      <c r="F25" s="21" t="s">
        <v>165</v>
      </c>
    </row>
    <row r="26" spans="4:6" ht="19.95" customHeight="1" x14ac:dyDescent="0.3">
      <c r="D26" s="62"/>
      <c r="E26" s="63"/>
      <c r="F26" s="21" t="s">
        <v>178</v>
      </c>
    </row>
    <row r="27" spans="4:6" ht="19.95" customHeight="1" x14ac:dyDescent="0.3">
      <c r="D27" s="62"/>
      <c r="E27" s="63"/>
      <c r="F27" s="21" t="s">
        <v>179</v>
      </c>
    </row>
    <row r="28" spans="4:6" ht="19.95" customHeight="1" x14ac:dyDescent="0.3">
      <c r="D28" s="62">
        <v>5</v>
      </c>
      <c r="E28" s="63" t="s">
        <v>157</v>
      </c>
    </row>
    <row r="29" spans="4:6" ht="19.95" customHeight="1" x14ac:dyDescent="0.3">
      <c r="D29" s="62"/>
      <c r="E29" s="63"/>
      <c r="F29" s="21" t="str">
        <f>"Outputs and application materials generated with the Tool may be public records of "&amp;Tables!$F$39&amp;"; the Tool itself"</f>
        <v>Outputs and application materials generated with the Tool may be public records of Baldwin County; the Tool itself</v>
      </c>
    </row>
    <row r="30" spans="4:6" ht="19.95" customHeight="1" x14ac:dyDescent="0.3">
      <c r="D30" s="62"/>
      <c r="E30" s="63"/>
      <c r="F30" s="21" t="s">
        <v>180</v>
      </c>
    </row>
    <row r="31" spans="4:6" ht="19.95" customHeight="1" x14ac:dyDescent="0.3">
      <c r="D31" s="62">
        <v>6</v>
      </c>
      <c r="E31" s="63" t="s">
        <v>181</v>
      </c>
    </row>
    <row r="32" spans="4:6" ht="19.95" customHeight="1" x14ac:dyDescent="0.3">
      <c r="D32" s="62"/>
      <c r="E32" s="63"/>
      <c r="F32" s="21" t="str">
        <f>"The Tool is a convenience aid and does not constitute engineering, legal or compliance advice. The "&amp;Tables!$F$39&amp;"'s standards and"</f>
        <v>The Tool is a convenience aid and does not constitute engineering, legal or compliance advice. The Baldwin County's standards and</v>
      </c>
    </row>
    <row r="33" spans="4:6" ht="19.95" customHeight="1" x14ac:dyDescent="0.3">
      <c r="D33" s="62"/>
      <c r="E33" s="63"/>
      <c r="F33" s="21" t="s">
        <v>182</v>
      </c>
    </row>
    <row r="34" spans="4:6" ht="19.95" customHeight="1" x14ac:dyDescent="0.3">
      <c r="D34" s="62">
        <v>7</v>
      </c>
      <c r="E34" s="63" t="s">
        <v>158</v>
      </c>
    </row>
    <row r="35" spans="4:6" ht="19.95" customHeight="1" x14ac:dyDescent="0.3">
      <c r="D35" s="62"/>
      <c r="E35" s="63"/>
      <c r="F35" s="21" t="s">
        <v>183</v>
      </c>
    </row>
    <row r="36" spans="4:6" ht="19.95" customHeight="1" x14ac:dyDescent="0.3">
      <c r="D36" s="62"/>
      <c r="E36" s="63"/>
      <c r="F36" s="21" t="s">
        <v>197</v>
      </c>
    </row>
    <row r="37" spans="4:6" ht="19.95" customHeight="1" x14ac:dyDescent="0.3">
      <c r="D37" s="62"/>
      <c r="E37" s="63"/>
      <c r="F37" s="21" t="s">
        <v>166</v>
      </c>
    </row>
    <row r="38" spans="4:6" ht="19.95" customHeight="1" x14ac:dyDescent="0.3">
      <c r="D38" s="62">
        <v>8</v>
      </c>
      <c r="E38" s="63" t="s">
        <v>159</v>
      </c>
    </row>
    <row r="39" spans="4:6" ht="19.95" customHeight="1" x14ac:dyDescent="0.3">
      <c r="D39" s="62"/>
      <c r="E39" s="63"/>
      <c r="F39" s="21" t="s">
        <v>160</v>
      </c>
    </row>
    <row r="40" spans="4:6" ht="19.95" customHeight="1" x14ac:dyDescent="0.3">
      <c r="D40" s="62"/>
      <c r="E40" s="63"/>
      <c r="F40" s="21" t="s">
        <v>161</v>
      </c>
    </row>
    <row r="41" spans="4:6" ht="19.95" customHeight="1" x14ac:dyDescent="0.3">
      <c r="D41" s="62">
        <v>9</v>
      </c>
      <c r="E41" s="63" t="s">
        <v>184</v>
      </c>
    </row>
    <row r="42" spans="4:6" ht="19.95" customHeight="1" x14ac:dyDescent="0.3">
      <c r="D42" s="62"/>
      <c r="E42" s="63"/>
      <c r="F42" s="21" t="s">
        <v>185</v>
      </c>
    </row>
    <row r="43" spans="4:6" ht="19.95" customHeight="1" x14ac:dyDescent="0.3">
      <c r="D43" s="62">
        <v>10</v>
      </c>
      <c r="E43" s="63" t="s">
        <v>186</v>
      </c>
    </row>
    <row r="44" spans="4:6" ht="19.95" customHeight="1" x14ac:dyDescent="0.3">
      <c r="D44" s="62"/>
      <c r="E44" s="63"/>
      <c r="F44" s="21" t="s">
        <v>187</v>
      </c>
    </row>
    <row r="45" spans="4:6" ht="19.95" customHeight="1" x14ac:dyDescent="0.3">
      <c r="D45" s="62"/>
      <c r="E45" s="63"/>
      <c r="F45" s="21" t="s">
        <v>188</v>
      </c>
    </row>
    <row r="46" spans="4:6" ht="19.95" customHeight="1" x14ac:dyDescent="0.3">
      <c r="D46" s="62">
        <v>11</v>
      </c>
      <c r="E46" s="63" t="s">
        <v>189</v>
      </c>
    </row>
    <row r="47" spans="4:6" ht="19.95" customHeight="1" x14ac:dyDescent="0.3">
      <c r="D47" s="62"/>
      <c r="E47" s="63"/>
      <c r="F47" s="21" t="s">
        <v>190</v>
      </c>
    </row>
    <row r="48" spans="4:6" ht="19.95" customHeight="1" x14ac:dyDescent="0.3">
      <c r="D48" s="62"/>
      <c r="E48" s="63"/>
      <c r="F48" s="21" t="s">
        <v>191</v>
      </c>
    </row>
    <row r="49" spans="4:6" ht="19.95" customHeight="1" x14ac:dyDescent="0.3">
      <c r="D49" s="62"/>
      <c r="E49" s="63"/>
      <c r="F49" s="21" t="s">
        <v>192</v>
      </c>
    </row>
    <row r="50" spans="4:6" ht="19.95" customHeight="1" x14ac:dyDescent="0.3">
      <c r="D50" s="62"/>
      <c r="E50" s="63"/>
      <c r="F50" s="21" t="s">
        <v>193</v>
      </c>
    </row>
    <row r="51" spans="4:6" ht="19.95" customHeight="1" x14ac:dyDescent="0.3">
      <c r="D51" s="62">
        <v>12</v>
      </c>
      <c r="E51" s="63" t="s">
        <v>162</v>
      </c>
    </row>
    <row r="52" spans="4:6" ht="19.95" customHeight="1" x14ac:dyDescent="0.3">
      <c r="D52" s="62"/>
      <c r="E52" s="63"/>
      <c r="F52" s="21" t="s">
        <v>194</v>
      </c>
    </row>
    <row r="53" spans="4:6" ht="19.95" customHeight="1" x14ac:dyDescent="0.3">
      <c r="D53" s="62"/>
      <c r="E53" s="63"/>
    </row>
    <row r="54" spans="4:6" ht="19.95" customHeight="1" x14ac:dyDescent="0.3">
      <c r="D54" s="62"/>
      <c r="E54" s="63"/>
    </row>
    <row r="55" spans="4:6" ht="19.95" customHeight="1" x14ac:dyDescent="0.3">
      <c r="D55" s="62"/>
      <c r="E55" s="63"/>
    </row>
  </sheetData>
  <sheetProtection algorithmName="SHA-512" hashValue="ktbbDbl9QzUqrA/Racd4qlGZSxVATBUoRfuO2gSbFkXwwjC8AE+sHDIAdx9Ao3giXaFPYtOWbYxUAtIQ1Kfbew==" saltValue="TBQTNEV5IZLdw9+/VUAplQ==" spinCount="100000" sheet="1" objects="1" scenarios="1" selectLockedCells="1"/>
  <mergeCells count="3">
    <mergeCell ref="F3:H3"/>
    <mergeCell ref="O1:P1"/>
    <mergeCell ref="O2:P2"/>
  </mergeCells>
  <conditionalFormatting sqref="F2">
    <cfRule type="expression" dxfId="151" priority="1447">
      <formula>$A$2=2</formula>
    </cfRule>
  </conditionalFormatting>
  <conditionalFormatting sqref="F3:H3">
    <cfRule type="expression" dxfId="150" priority="1">
      <formula>$A$3=2</formula>
    </cfRule>
    <cfRule type="expression" dxfId="149" priority="2">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E8D3736-A416-4CBD-8944-80A6382E9205}">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78E61-DCB6-4134-8CD0-F6F06A045AE6}">
  <sheetPr codeName="Sheet2">
    <tabColor theme="7" tint="0.39997558519241921"/>
  </sheetPr>
  <dimension ref="A1:CO115"/>
  <sheetViews>
    <sheetView showGridLines="0" showRowColHeaders="0" showZeros="0" zoomScale="150" zoomScaleNormal="150" workbookViewId="0">
      <selection activeCell="AC5" sqref="AC5:AJ5"/>
    </sheetView>
  </sheetViews>
  <sheetFormatPr defaultColWidth="0" defaultRowHeight="0" customHeight="1" zeroHeight="1" x14ac:dyDescent="0.3"/>
  <cols>
    <col min="1" max="1" width="1.77734375" style="4" customWidth="1"/>
    <col min="2" max="36" width="2.77734375" style="4" customWidth="1"/>
    <col min="37" max="37" width="1.77734375" style="4" customWidth="1"/>
    <col min="38" max="38" width="2.77734375" style="4" customWidth="1"/>
    <col min="39" max="39" width="8.77734375" style="24" hidden="1" customWidth="1"/>
    <col min="40" max="40" width="20.88671875" style="24" hidden="1" customWidth="1"/>
    <col min="41" max="42" width="8.77734375" style="24" hidden="1" customWidth="1"/>
    <col min="43" max="44" width="5.77734375" style="24" hidden="1" customWidth="1"/>
    <col min="45" max="80" width="2.77734375" style="4" customWidth="1"/>
    <col min="81" max="93" width="2.77734375" style="4" hidden="1" customWidth="1"/>
    <col min="94" max="16384" width="8.88671875" style="4" hidden="1"/>
  </cols>
  <sheetData>
    <row r="1" spans="2:89" ht="15" customHeight="1" x14ac:dyDescent="0.3">
      <c r="G1" s="5"/>
      <c r="H1" s="5"/>
      <c r="I1" s="5"/>
      <c r="J1" s="5"/>
      <c r="K1" s="5"/>
      <c r="L1" s="5"/>
      <c r="M1" s="5"/>
      <c r="O1" s="12"/>
      <c r="P1" s="12"/>
      <c r="Q1" s="102" t="str">
        <f>IF(AP7=0,"Select BMP Type",IF(AP7=1,"Form 2A.2 - Detention Pond",IF(AP7=2,"Form 2B.2 - Retention Pond",IF(AP7=3,"Form 2C.2 - Underground Detention",IF(AP7=4,"Form 2D.2 - Bioretention Area",IF(AP7=5,"Form 2F.2 - Permeable Pavement","Select Form"))))))&amp;"
Design Attachment Form"</f>
        <v>Select BMP Type
Design Attachment Form</v>
      </c>
      <c r="R1" s="102"/>
      <c r="S1" s="102"/>
      <c r="T1" s="102"/>
      <c r="U1" s="102"/>
      <c r="V1" s="102"/>
      <c r="W1" s="102"/>
      <c r="X1" s="102"/>
      <c r="Y1" s="102"/>
      <c r="Z1" s="102"/>
      <c r="AA1" s="102"/>
      <c r="AB1" s="102"/>
      <c r="AC1" s="102"/>
      <c r="AD1" s="102"/>
      <c r="AE1" s="102"/>
      <c r="AF1" s="102"/>
      <c r="AG1" s="102"/>
      <c r="AH1" s="102"/>
      <c r="AI1" s="102"/>
      <c r="AJ1" s="102"/>
      <c r="AK1" s="102"/>
      <c r="AM1" s="17"/>
      <c r="AN1" s="17"/>
      <c r="AO1" s="17"/>
      <c r="AP1" s="17"/>
      <c r="AQ1" s="17"/>
      <c r="AR1" s="17"/>
      <c r="BF1" s="102" t="str">
        <f>Q1</f>
        <v>Select BMP Type
Design Attachment Form</v>
      </c>
      <c r="BG1" s="102"/>
      <c r="BH1" s="102"/>
      <c r="BI1" s="102"/>
      <c r="BJ1" s="102"/>
      <c r="BK1" s="102"/>
      <c r="BL1" s="102"/>
      <c r="BM1" s="102"/>
      <c r="BN1" s="102"/>
      <c r="BO1" s="102"/>
      <c r="BP1" s="102"/>
      <c r="BQ1" s="102"/>
      <c r="BR1" s="102"/>
      <c r="BS1" s="102"/>
      <c r="BT1" s="102"/>
      <c r="BU1" s="102"/>
      <c r="BV1" s="102"/>
      <c r="BW1" s="102"/>
      <c r="BX1" s="102"/>
      <c r="BY1" s="102"/>
      <c r="BZ1" s="102"/>
      <c r="CA1" s="12"/>
    </row>
    <row r="2" spans="2:89" ht="15" customHeight="1" x14ac:dyDescent="0.3">
      <c r="E2" s="5"/>
      <c r="F2" s="5"/>
      <c r="G2" s="5"/>
      <c r="H2" s="5"/>
      <c r="I2" s="5"/>
      <c r="J2" s="5"/>
      <c r="K2" s="5"/>
      <c r="L2" s="5"/>
      <c r="M2" s="5"/>
      <c r="N2" s="12"/>
      <c r="O2" s="12"/>
      <c r="P2" s="12"/>
      <c r="Q2" s="102"/>
      <c r="R2" s="102"/>
      <c r="S2" s="102"/>
      <c r="T2" s="102"/>
      <c r="U2" s="102"/>
      <c r="V2" s="102"/>
      <c r="W2" s="102"/>
      <c r="X2" s="102"/>
      <c r="Y2" s="102"/>
      <c r="Z2" s="102"/>
      <c r="AA2" s="102"/>
      <c r="AB2" s="102"/>
      <c r="AC2" s="102"/>
      <c r="AD2" s="102"/>
      <c r="AE2" s="102"/>
      <c r="AF2" s="102"/>
      <c r="AG2" s="102"/>
      <c r="AH2" s="102"/>
      <c r="AI2" s="102"/>
      <c r="AJ2" s="102"/>
      <c r="AK2" s="102"/>
      <c r="AM2" s="17"/>
      <c r="AN2" s="69" t="s">
        <v>234</v>
      </c>
      <c r="AO2" s="69"/>
      <c r="AP2" s="25">
        <f>IF(ISBLANK(D11),0,1)</f>
        <v>0</v>
      </c>
      <c r="AQ2" s="17"/>
      <c r="AR2" s="25">
        <f>LEN(D11)</f>
        <v>0</v>
      </c>
      <c r="BE2" s="12"/>
      <c r="BF2" s="102"/>
      <c r="BG2" s="102"/>
      <c r="BH2" s="102"/>
      <c r="BI2" s="102"/>
      <c r="BJ2" s="102"/>
      <c r="BK2" s="102"/>
      <c r="BL2" s="102"/>
      <c r="BM2" s="102"/>
      <c r="BN2" s="102"/>
      <c r="BO2" s="102"/>
      <c r="BP2" s="102"/>
      <c r="BQ2" s="102"/>
      <c r="BR2" s="102"/>
      <c r="BS2" s="102"/>
      <c r="BT2" s="102"/>
      <c r="BU2" s="102"/>
      <c r="BV2" s="102"/>
      <c r="BW2" s="102"/>
      <c r="BX2" s="102"/>
      <c r="BY2" s="102"/>
      <c r="BZ2" s="102"/>
      <c r="CA2" s="12"/>
    </row>
    <row r="3" spans="2:89" ht="15" customHeight="1" x14ac:dyDescent="0.3">
      <c r="E3" s="5"/>
      <c r="F3" s="5"/>
      <c r="G3" s="5"/>
      <c r="H3" s="5"/>
      <c r="I3" s="5"/>
      <c r="J3" s="5"/>
      <c r="K3" s="5"/>
      <c r="L3" s="5"/>
      <c r="M3" s="5"/>
      <c r="N3" s="12"/>
      <c r="O3" s="12"/>
      <c r="P3" s="12"/>
      <c r="Q3" s="102"/>
      <c r="R3" s="102"/>
      <c r="S3" s="102"/>
      <c r="T3" s="102"/>
      <c r="U3" s="102"/>
      <c r="V3" s="102"/>
      <c r="W3" s="102"/>
      <c r="X3" s="102"/>
      <c r="Y3" s="102"/>
      <c r="Z3" s="102"/>
      <c r="AA3" s="102"/>
      <c r="AB3" s="102"/>
      <c r="AC3" s="102"/>
      <c r="AD3" s="102"/>
      <c r="AE3" s="102"/>
      <c r="AF3" s="102"/>
      <c r="AG3" s="102"/>
      <c r="AH3" s="102"/>
      <c r="AI3" s="102"/>
      <c r="AJ3" s="102"/>
      <c r="AK3" s="102"/>
      <c r="AM3" s="17"/>
      <c r="AN3" s="69" t="s">
        <v>235</v>
      </c>
      <c r="AO3" s="69"/>
      <c r="AP3" s="25">
        <f>IF(ISBLANK(D13),0,2)</f>
        <v>0</v>
      </c>
      <c r="AQ3" s="17"/>
      <c r="AR3" s="25">
        <f>LEN(D13)</f>
        <v>0</v>
      </c>
      <c r="BE3" s="12"/>
      <c r="BF3" s="102"/>
      <c r="BG3" s="102"/>
      <c r="BH3" s="102"/>
      <c r="BI3" s="102"/>
      <c r="BJ3" s="102"/>
      <c r="BK3" s="102"/>
      <c r="BL3" s="102"/>
      <c r="BM3" s="102"/>
      <c r="BN3" s="102"/>
      <c r="BO3" s="102"/>
      <c r="BP3" s="102"/>
      <c r="BQ3" s="102"/>
      <c r="BR3" s="102"/>
      <c r="BS3" s="102"/>
      <c r="BT3" s="102"/>
      <c r="BU3" s="102"/>
      <c r="BV3" s="102"/>
      <c r="BW3" s="102"/>
      <c r="BX3" s="102"/>
      <c r="BY3" s="102"/>
      <c r="BZ3" s="102"/>
      <c r="CA3" s="12"/>
    </row>
    <row r="4" spans="2:89" ht="15" customHeight="1" x14ac:dyDescent="0.3">
      <c r="E4" s="5"/>
      <c r="F4" s="5"/>
      <c r="G4" s="5"/>
      <c r="H4" s="5"/>
      <c r="I4" s="5"/>
      <c r="J4" s="5"/>
      <c r="K4" s="5"/>
      <c r="L4" s="5"/>
      <c r="M4" s="5"/>
      <c r="N4" s="12"/>
      <c r="O4" s="12"/>
      <c r="P4" s="12"/>
      <c r="Q4" s="102"/>
      <c r="R4" s="102"/>
      <c r="S4" s="102"/>
      <c r="T4" s="102"/>
      <c r="U4" s="102"/>
      <c r="V4" s="102"/>
      <c r="W4" s="102"/>
      <c r="X4" s="102"/>
      <c r="Y4" s="102"/>
      <c r="Z4" s="102"/>
      <c r="AA4" s="102"/>
      <c r="AB4" s="102"/>
      <c r="AC4" s="102"/>
      <c r="AD4" s="102"/>
      <c r="AE4" s="102"/>
      <c r="AF4" s="102"/>
      <c r="AG4" s="102"/>
      <c r="AH4" s="102"/>
      <c r="AI4" s="102"/>
      <c r="AJ4" s="102"/>
      <c r="AK4" s="102"/>
      <c r="AM4" s="17"/>
      <c r="AN4" s="69" t="s">
        <v>236</v>
      </c>
      <c r="AO4" s="69"/>
      <c r="AP4" s="25">
        <f>IF(ISBLANK(D15),0,3)</f>
        <v>0</v>
      </c>
      <c r="AQ4" s="17"/>
      <c r="AR4" s="25">
        <f>LEN(D15)</f>
        <v>0</v>
      </c>
      <c r="BE4" s="12"/>
      <c r="BF4" s="102"/>
      <c r="BG4" s="102"/>
      <c r="BH4" s="102"/>
      <c r="BI4" s="102"/>
      <c r="BJ4" s="102"/>
      <c r="BK4" s="102"/>
      <c r="BL4" s="102"/>
      <c r="BM4" s="102"/>
      <c r="BN4" s="102"/>
      <c r="BO4" s="102"/>
      <c r="BP4" s="102"/>
      <c r="BQ4" s="102"/>
      <c r="BR4" s="102"/>
      <c r="BS4" s="102"/>
      <c r="BT4" s="102"/>
      <c r="BU4" s="102"/>
      <c r="BV4" s="102"/>
      <c r="BW4" s="102"/>
      <c r="BX4" s="102"/>
      <c r="BY4" s="102"/>
      <c r="BZ4" s="102"/>
      <c r="CA4" s="12"/>
    </row>
    <row r="5" spans="2:89" ht="15" customHeight="1" x14ac:dyDescent="0.3">
      <c r="B5" s="1" t="s">
        <v>233</v>
      </c>
      <c r="C5" s="1"/>
      <c r="D5" s="1"/>
      <c r="AB5" s="2" t="s">
        <v>101</v>
      </c>
      <c r="AC5" s="101"/>
      <c r="AD5" s="101"/>
      <c r="AE5" s="101"/>
      <c r="AF5" s="101"/>
      <c r="AG5" s="101"/>
      <c r="AH5" s="101"/>
      <c r="AI5" s="101"/>
      <c r="AJ5" s="101"/>
      <c r="AM5" s="17"/>
      <c r="AN5" s="69" t="s">
        <v>237</v>
      </c>
      <c r="AO5" s="69"/>
      <c r="AP5" s="25">
        <f>IF(ISBLANK(D17),0,4)</f>
        <v>0</v>
      </c>
      <c r="AQ5" s="17"/>
      <c r="AR5" s="25">
        <f>LEN(D17)</f>
        <v>0</v>
      </c>
      <c r="AS5" s="111" t="s">
        <v>232</v>
      </c>
      <c r="AT5" s="111"/>
      <c r="AU5" s="111"/>
      <c r="AV5" s="111"/>
      <c r="AW5" s="111"/>
      <c r="AX5" s="111"/>
      <c r="AY5" s="111"/>
      <c r="AZ5" s="111"/>
      <c r="BA5" s="111"/>
      <c r="BB5" s="111"/>
      <c r="BC5" s="111"/>
      <c r="BD5" s="111"/>
      <c r="BE5" s="111"/>
      <c r="BF5" s="111"/>
      <c r="BG5" s="111"/>
      <c r="CK5" s="84"/>
    </row>
    <row r="6" spans="2:89" ht="15" customHeight="1" x14ac:dyDescent="0.3">
      <c r="D6" s="2" t="s">
        <v>30</v>
      </c>
      <c r="E6" s="112"/>
      <c r="F6" s="112"/>
      <c r="G6" s="112"/>
      <c r="H6" s="112"/>
      <c r="I6" s="112"/>
      <c r="J6" s="112"/>
      <c r="K6" s="112"/>
      <c r="L6" s="112"/>
      <c r="M6" s="112"/>
      <c r="N6" s="112"/>
      <c r="O6" s="112"/>
      <c r="P6" s="112"/>
      <c r="Q6" s="112"/>
      <c r="R6" s="112"/>
      <c r="S6" s="112"/>
      <c r="T6" s="112"/>
      <c r="U6" s="112"/>
      <c r="V6" s="112"/>
      <c r="W6" s="112"/>
      <c r="X6" s="112"/>
      <c r="Y6" s="112"/>
      <c r="AD6" s="2" t="s">
        <v>39</v>
      </c>
      <c r="AE6" s="113"/>
      <c r="AF6" s="113"/>
      <c r="AG6" s="113"/>
      <c r="AH6" s="113"/>
      <c r="AI6" s="113"/>
      <c r="AJ6" s="113"/>
      <c r="AM6" s="17"/>
      <c r="AN6" s="69" t="s">
        <v>238</v>
      </c>
      <c r="AO6" s="69"/>
      <c r="AP6" s="25">
        <f>IF(ISBLANK(D19),0,5)</f>
        <v>0</v>
      </c>
      <c r="AQ6" s="17"/>
      <c r="AR6" s="25">
        <f>LEN(D19)</f>
        <v>0</v>
      </c>
      <c r="AS6" s="111"/>
      <c r="AT6" s="111"/>
      <c r="AU6" s="111"/>
      <c r="AV6" s="111"/>
      <c r="AW6" s="111"/>
      <c r="AX6" s="111"/>
      <c r="AY6" s="111"/>
      <c r="AZ6" s="111"/>
      <c r="BA6" s="111"/>
      <c r="BB6" s="111"/>
      <c r="BC6" s="111"/>
      <c r="BD6" s="111"/>
      <c r="BE6" s="111"/>
      <c r="BF6" s="111"/>
      <c r="BG6" s="111"/>
      <c r="BH6" s="77"/>
      <c r="BI6" s="77"/>
      <c r="BJ6" s="77"/>
      <c r="BK6" s="77"/>
      <c r="BL6" s="77"/>
      <c r="BM6" s="77"/>
      <c r="BN6" s="77"/>
      <c r="BO6" s="77"/>
      <c r="BP6" s="77"/>
      <c r="BQ6" s="77"/>
      <c r="BR6" s="77"/>
      <c r="BS6" s="77"/>
      <c r="BT6" s="77"/>
      <c r="BU6" s="77"/>
      <c r="BV6" s="14"/>
      <c r="BW6" s="14"/>
      <c r="BX6" s="14"/>
      <c r="BY6" s="14"/>
      <c r="BZ6" s="14"/>
      <c r="CA6" s="14"/>
      <c r="CB6" s="14"/>
      <c r="CC6" s="14"/>
      <c r="CD6" s="14"/>
      <c r="CE6" s="14"/>
      <c r="CF6" s="14"/>
      <c r="CG6" s="14"/>
      <c r="CH6" s="14"/>
      <c r="CI6" s="14"/>
      <c r="CJ6" s="14"/>
      <c r="CK6" s="70"/>
    </row>
    <row r="7" spans="2:89" ht="15" customHeight="1" x14ac:dyDescent="0.3">
      <c r="D7" s="2" t="s">
        <v>31</v>
      </c>
      <c r="E7" s="114"/>
      <c r="F7" s="114"/>
      <c r="G7" s="114"/>
      <c r="H7" s="114"/>
      <c r="I7" s="114"/>
      <c r="J7" s="114"/>
      <c r="K7" s="114"/>
      <c r="L7" s="114"/>
      <c r="M7" s="114"/>
      <c r="N7" s="114"/>
      <c r="O7" s="114"/>
      <c r="P7" s="114"/>
      <c r="Q7" s="114"/>
      <c r="R7" s="114"/>
      <c r="S7" s="114"/>
      <c r="T7" s="114"/>
      <c r="U7" s="114"/>
      <c r="V7" s="114"/>
      <c r="W7" s="114"/>
      <c r="X7" s="114"/>
      <c r="Y7" s="114"/>
      <c r="AB7" s="2"/>
      <c r="AD7" s="2" t="s">
        <v>40</v>
      </c>
      <c r="AE7" s="118"/>
      <c r="AF7" s="118"/>
      <c r="AG7" s="118"/>
      <c r="AH7" s="118"/>
      <c r="AI7" s="118"/>
      <c r="AJ7" s="118"/>
      <c r="AN7" s="17"/>
      <c r="AO7" s="17"/>
      <c r="AP7" s="25">
        <f>MAX(AP2:AP6)</f>
        <v>0</v>
      </c>
      <c r="AQ7" s="17"/>
      <c r="AR7" s="25">
        <f>SUM(AR2:AR6)</f>
        <v>0</v>
      </c>
      <c r="AS7" s="77">
        <v>1</v>
      </c>
      <c r="AT7" s="76" t="s">
        <v>231</v>
      </c>
      <c r="AU7" s="85"/>
      <c r="AV7" s="77"/>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4"/>
      <c r="BW7" s="84"/>
      <c r="BX7" s="84"/>
      <c r="BY7" s="84"/>
      <c r="BZ7" s="84"/>
      <c r="CA7" s="84"/>
      <c r="CB7" s="84"/>
      <c r="CC7" s="84"/>
      <c r="CD7" s="84"/>
      <c r="CE7" s="84"/>
      <c r="CF7" s="84"/>
      <c r="CG7" s="84"/>
      <c r="CH7" s="84"/>
      <c r="CI7" s="84"/>
      <c r="CJ7" s="84"/>
      <c r="CK7" s="14"/>
    </row>
    <row r="8" spans="2:89" ht="15" customHeight="1" x14ac:dyDescent="0.3">
      <c r="AA8" s="16"/>
      <c r="AC8" s="16"/>
      <c r="AD8" s="2" t="s">
        <v>230</v>
      </c>
      <c r="AE8" s="120"/>
      <c r="AF8" s="120"/>
      <c r="AG8" s="120"/>
      <c r="AH8" s="120"/>
      <c r="AI8" s="120"/>
      <c r="AJ8" s="120"/>
      <c r="AS8" s="85"/>
      <c r="AT8" s="77" t="s">
        <v>225</v>
      </c>
      <c r="AU8" s="78" t="s">
        <v>229</v>
      </c>
      <c r="AV8" s="77"/>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4"/>
      <c r="BW8" s="84"/>
      <c r="BX8" s="84"/>
      <c r="BY8" s="84"/>
      <c r="BZ8" s="84"/>
      <c r="CA8" s="84"/>
      <c r="CB8" s="84"/>
      <c r="CC8" s="84"/>
      <c r="CD8" s="84"/>
      <c r="CE8" s="84"/>
      <c r="CF8" s="84"/>
      <c r="CG8" s="84"/>
      <c r="CH8" s="84"/>
      <c r="CI8" s="84"/>
      <c r="CJ8" s="84"/>
    </row>
    <row r="9" spans="2:89" ht="15" customHeight="1" x14ac:dyDescent="0.3">
      <c r="C9" s="16" t="s">
        <v>198</v>
      </c>
      <c r="D9" s="16"/>
      <c r="E9" s="16"/>
      <c r="F9" s="16"/>
      <c r="AC9" s="16"/>
      <c r="AD9" s="2" t="s">
        <v>228</v>
      </c>
      <c r="AE9" s="120"/>
      <c r="AF9" s="120"/>
      <c r="AG9" s="120"/>
      <c r="AH9" s="120"/>
      <c r="AI9" s="120"/>
      <c r="AJ9" s="120"/>
      <c r="AT9" s="6" t="s">
        <v>224</v>
      </c>
      <c r="AU9" s="4" t="s">
        <v>264</v>
      </c>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14"/>
      <c r="BW9" s="14"/>
      <c r="BX9" s="14"/>
      <c r="BY9" s="14"/>
      <c r="BZ9" s="14"/>
      <c r="CA9" s="14"/>
      <c r="CB9" s="14"/>
      <c r="CC9" s="14"/>
      <c r="CD9" s="14"/>
      <c r="CE9" s="14"/>
      <c r="CF9" s="14"/>
      <c r="CG9" s="14"/>
      <c r="CH9" s="14"/>
      <c r="CI9" s="14"/>
      <c r="CJ9" s="14"/>
      <c r="CK9" s="14"/>
    </row>
    <row r="10" spans="2:89" ht="4.95" customHeight="1" x14ac:dyDescent="0.3">
      <c r="G10" s="2"/>
      <c r="AS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14"/>
      <c r="BW10" s="14"/>
      <c r="BX10" s="14"/>
      <c r="BY10" s="14"/>
      <c r="BZ10" s="14"/>
      <c r="CA10" s="14"/>
      <c r="CB10" s="14"/>
      <c r="CC10" s="14"/>
      <c r="CD10" s="14"/>
      <c r="CE10" s="14"/>
      <c r="CF10" s="14"/>
      <c r="CG10" s="14"/>
      <c r="CH10" s="14"/>
      <c r="CI10" s="14"/>
      <c r="CJ10" s="14"/>
      <c r="CK10" s="14"/>
    </row>
    <row r="11" spans="2:89" ht="15" customHeight="1" x14ac:dyDescent="0.3">
      <c r="D11" s="67"/>
      <c r="E11" s="4" t="s">
        <v>270</v>
      </c>
      <c r="G11" s="2"/>
      <c r="Q11" s="2" t="s">
        <v>39</v>
      </c>
      <c r="R11" s="103"/>
      <c r="S11" s="103"/>
      <c r="T11" s="103"/>
      <c r="U11" s="103"/>
      <c r="V11" s="103"/>
      <c r="W11" s="103"/>
      <c r="AM11" s="25">
        <f>IF(AND(ISBLANK(D11),ISBLANK(D13),ISBLANK(D15),ISBLANK(D17),ISBLANK(D19)),1,2)</f>
        <v>1</v>
      </c>
      <c r="AN11" s="25">
        <f>IF(ISBLANK(D11),1,2)</f>
        <v>1</v>
      </c>
      <c r="AO11" s="17"/>
      <c r="AP11" s="17"/>
      <c r="AQ11" s="17"/>
      <c r="AR11" s="17"/>
      <c r="AS11" s="77"/>
      <c r="AU11" s="4" t="s">
        <v>265</v>
      </c>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14"/>
      <c r="BW11" s="14"/>
      <c r="BX11" s="14"/>
      <c r="BY11" s="14"/>
      <c r="BZ11" s="14"/>
      <c r="CA11" s="14"/>
      <c r="CB11" s="14"/>
      <c r="CC11" s="14"/>
      <c r="CD11" s="14"/>
      <c r="CE11" s="14"/>
      <c r="CF11" s="14"/>
      <c r="CG11" s="14"/>
      <c r="CH11" s="14"/>
      <c r="CI11" s="14"/>
      <c r="CJ11" s="14"/>
      <c r="CK11" s="14"/>
    </row>
    <row r="12" spans="2:89" ht="4.95" customHeight="1" x14ac:dyDescent="0.3">
      <c r="D12" s="2"/>
      <c r="E12" s="2"/>
      <c r="G12" s="2"/>
      <c r="AM12" s="17"/>
      <c r="AN12" s="17"/>
      <c r="AO12" s="17"/>
      <c r="AP12" s="17"/>
      <c r="AQ12" s="17"/>
      <c r="AR12" s="17"/>
      <c r="AS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14"/>
      <c r="BW12" s="14"/>
      <c r="BX12" s="14"/>
      <c r="BY12" s="14"/>
      <c r="BZ12" s="14"/>
      <c r="CA12" s="14"/>
      <c r="CB12" s="14"/>
      <c r="CC12" s="14"/>
      <c r="CD12" s="14"/>
      <c r="CE12" s="14"/>
      <c r="CF12" s="14"/>
      <c r="CG12" s="14"/>
      <c r="CH12" s="14"/>
      <c r="CI12" s="14"/>
      <c r="CJ12" s="14"/>
      <c r="CK12" s="14"/>
    </row>
    <row r="13" spans="2:89" ht="15" customHeight="1" x14ac:dyDescent="0.3">
      <c r="D13" s="67"/>
      <c r="E13" s="4" t="s">
        <v>271</v>
      </c>
      <c r="Q13" s="2" t="s">
        <v>39</v>
      </c>
      <c r="R13" s="103"/>
      <c r="S13" s="103"/>
      <c r="T13" s="103"/>
      <c r="U13" s="103"/>
      <c r="V13" s="103"/>
      <c r="W13" s="103"/>
      <c r="AN13" s="25">
        <f>IF(ISBLANK(D13),1,2)</f>
        <v>1</v>
      </c>
      <c r="AS13" s="77"/>
      <c r="AT13" s="6" t="s">
        <v>223</v>
      </c>
      <c r="AU13" s="4" t="s">
        <v>266</v>
      </c>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14"/>
      <c r="BW13" s="14"/>
      <c r="BX13" s="14"/>
      <c r="BY13" s="14"/>
      <c r="BZ13" s="14"/>
      <c r="CA13" s="14"/>
      <c r="CB13" s="14"/>
      <c r="CC13" s="14"/>
      <c r="CD13" s="14"/>
      <c r="CE13" s="14"/>
      <c r="CF13" s="14"/>
      <c r="CG13" s="14"/>
      <c r="CH13" s="14"/>
      <c r="CI13" s="14"/>
      <c r="CJ13" s="14"/>
      <c r="CK13" s="14"/>
    </row>
    <row r="14" spans="2:89" ht="4.95" customHeight="1" x14ac:dyDescent="0.3">
      <c r="D14" s="2"/>
      <c r="E14" s="2"/>
      <c r="AM14" s="17"/>
      <c r="AN14" s="17"/>
      <c r="AO14" s="17"/>
      <c r="AP14" s="17"/>
      <c r="AQ14" s="17"/>
      <c r="AR14" s="17"/>
      <c r="AS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14"/>
      <c r="BW14" s="14"/>
      <c r="BX14" s="14"/>
      <c r="BY14" s="14"/>
      <c r="BZ14" s="14"/>
      <c r="CA14" s="14"/>
      <c r="CB14" s="14"/>
      <c r="CC14" s="14"/>
      <c r="CD14" s="14"/>
      <c r="CE14" s="14"/>
      <c r="CF14" s="14"/>
      <c r="CG14" s="14"/>
      <c r="CH14" s="14"/>
      <c r="CI14" s="14"/>
      <c r="CJ14" s="14"/>
      <c r="CK14" s="14"/>
    </row>
    <row r="15" spans="2:89" ht="15" customHeight="1" x14ac:dyDescent="0.3">
      <c r="D15" s="67"/>
      <c r="E15" s="4" t="s">
        <v>272</v>
      </c>
      <c r="Q15" s="2" t="s">
        <v>39</v>
      </c>
      <c r="R15" s="103"/>
      <c r="S15" s="103"/>
      <c r="T15" s="103"/>
      <c r="U15" s="103"/>
      <c r="V15" s="103"/>
      <c r="W15" s="103"/>
      <c r="AM15" s="17"/>
      <c r="AN15" s="25">
        <f>IF(ISBLANK(D15),1,2)</f>
        <v>1</v>
      </c>
      <c r="AO15" s="17"/>
      <c r="AP15" s="17"/>
      <c r="AQ15" s="17"/>
      <c r="AR15" s="17"/>
      <c r="AS15" s="77"/>
      <c r="AT15" s="6" t="s">
        <v>222</v>
      </c>
      <c r="AU15" s="4" t="s">
        <v>227</v>
      </c>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14"/>
      <c r="BW15" s="14"/>
      <c r="BX15" s="14"/>
      <c r="BY15" s="14"/>
      <c r="BZ15" s="14"/>
      <c r="CA15" s="14"/>
      <c r="CB15" s="14"/>
      <c r="CC15" s="14"/>
      <c r="CD15" s="14"/>
      <c r="CE15" s="14"/>
      <c r="CF15" s="14"/>
      <c r="CG15" s="14"/>
      <c r="CH15" s="14"/>
      <c r="CI15" s="14"/>
      <c r="CJ15" s="14"/>
      <c r="CK15" s="14"/>
    </row>
    <row r="16" spans="2:89" ht="4.95" customHeight="1" x14ac:dyDescent="0.3">
      <c r="D16" s="2"/>
      <c r="AM16" s="17"/>
      <c r="AN16" s="17"/>
      <c r="AO16" s="17"/>
      <c r="AP16" s="17"/>
      <c r="AQ16" s="17"/>
      <c r="AR16" s="17"/>
      <c r="AS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14"/>
      <c r="BW16" s="14"/>
      <c r="BX16" s="14"/>
      <c r="BY16" s="14"/>
      <c r="BZ16" s="14"/>
      <c r="CA16" s="14"/>
      <c r="CB16" s="14"/>
      <c r="CC16" s="14"/>
      <c r="CD16" s="14"/>
      <c r="CE16" s="14"/>
      <c r="CF16" s="14"/>
      <c r="CG16" s="14"/>
      <c r="CH16" s="14"/>
      <c r="CI16" s="14"/>
      <c r="CJ16" s="14"/>
      <c r="CK16" s="14"/>
    </row>
    <row r="17" spans="2:89" ht="15" customHeight="1" x14ac:dyDescent="0.3">
      <c r="D17" s="67"/>
      <c r="E17" s="4" t="s">
        <v>273</v>
      </c>
      <c r="Q17" s="2" t="s">
        <v>39</v>
      </c>
      <c r="R17" s="103"/>
      <c r="S17" s="103"/>
      <c r="T17" s="103"/>
      <c r="U17" s="103"/>
      <c r="V17" s="103"/>
      <c r="W17" s="103"/>
      <c r="AM17" s="17"/>
      <c r="AN17" s="25">
        <f>IF(ISBLANK(D17),1,2)</f>
        <v>1</v>
      </c>
      <c r="AO17" s="17"/>
      <c r="AP17" s="17"/>
      <c r="AQ17" s="17"/>
      <c r="AR17" s="17"/>
      <c r="AS17" s="77"/>
      <c r="AT17" s="6" t="s">
        <v>221</v>
      </c>
      <c r="AU17" s="4" t="s">
        <v>251</v>
      </c>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14"/>
      <c r="BW17" s="14"/>
      <c r="BX17" s="14"/>
      <c r="BY17" s="14"/>
      <c r="BZ17" s="14"/>
      <c r="CA17" s="14"/>
      <c r="CB17" s="14"/>
      <c r="CC17" s="14"/>
      <c r="CD17" s="14"/>
      <c r="CE17" s="14"/>
      <c r="CF17" s="14"/>
      <c r="CG17" s="14"/>
      <c r="CH17" s="14"/>
      <c r="CI17" s="14"/>
      <c r="CJ17" s="14"/>
      <c r="CK17" s="14"/>
    </row>
    <row r="18" spans="2:89" ht="4.95" customHeight="1" x14ac:dyDescent="0.3">
      <c r="D18" s="2"/>
      <c r="AM18" s="17"/>
      <c r="AN18" s="17"/>
      <c r="AO18" s="17"/>
      <c r="AP18" s="17"/>
      <c r="AQ18" s="17"/>
      <c r="AR18" s="17"/>
      <c r="AS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14"/>
      <c r="BW18" s="14"/>
      <c r="BX18" s="14"/>
      <c r="BY18" s="14"/>
      <c r="BZ18" s="14"/>
      <c r="CA18" s="14"/>
      <c r="CB18" s="14"/>
      <c r="CC18" s="14"/>
      <c r="CD18" s="14"/>
      <c r="CE18" s="14"/>
      <c r="CF18" s="14"/>
      <c r="CG18" s="14"/>
      <c r="CH18" s="14"/>
      <c r="CI18" s="14"/>
      <c r="CJ18" s="14"/>
      <c r="CK18" s="14"/>
    </row>
    <row r="19" spans="2:89" ht="15" customHeight="1" x14ac:dyDescent="0.3">
      <c r="D19" s="67"/>
      <c r="E19" s="4" t="s">
        <v>274</v>
      </c>
      <c r="Q19" s="2" t="s">
        <v>39</v>
      </c>
      <c r="R19" s="103"/>
      <c r="S19" s="103"/>
      <c r="T19" s="103"/>
      <c r="U19" s="103"/>
      <c r="V19" s="103"/>
      <c r="W19" s="103"/>
      <c r="AM19" s="17"/>
      <c r="AN19" s="25">
        <f>IF(ISBLANK(D19),1,2)</f>
        <v>1</v>
      </c>
      <c r="AO19" s="17"/>
      <c r="AP19" s="17"/>
      <c r="AQ19" s="17"/>
      <c r="AR19" s="17"/>
      <c r="AS19" s="77"/>
      <c r="AT19" s="6" t="s">
        <v>222</v>
      </c>
      <c r="AU19" s="4" t="s">
        <v>263</v>
      </c>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14"/>
      <c r="BW19" s="14"/>
      <c r="BX19" s="14"/>
      <c r="BY19" s="14"/>
      <c r="BZ19" s="14"/>
      <c r="CA19" s="14"/>
      <c r="CB19" s="14"/>
      <c r="CC19" s="14"/>
      <c r="CD19" s="14"/>
      <c r="CE19" s="14"/>
      <c r="CF19" s="14"/>
      <c r="CG19" s="14"/>
      <c r="CH19" s="14"/>
      <c r="CI19" s="14"/>
      <c r="CJ19" s="14"/>
      <c r="CK19" s="14"/>
    </row>
    <row r="20" spans="2:89" ht="15" customHeight="1" x14ac:dyDescent="0.3">
      <c r="D20" s="2"/>
      <c r="E20" s="2"/>
      <c r="AM20" s="17"/>
      <c r="AN20" s="17"/>
      <c r="AO20" s="17"/>
      <c r="AP20" s="17"/>
      <c r="AQ20" s="17"/>
      <c r="AR20" s="17"/>
      <c r="AS20" s="77"/>
      <c r="AT20" s="77" t="s">
        <v>221</v>
      </c>
      <c r="AU20" s="78" t="s">
        <v>269</v>
      </c>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14"/>
      <c r="BW20" s="14"/>
      <c r="BX20" s="14"/>
      <c r="BY20" s="14"/>
      <c r="BZ20" s="14"/>
      <c r="CA20" s="14"/>
      <c r="CB20" s="14"/>
      <c r="CC20" s="14"/>
      <c r="CD20" s="14"/>
      <c r="CE20" s="14"/>
      <c r="CF20" s="14"/>
      <c r="CG20" s="14"/>
      <c r="CH20" s="14"/>
      <c r="CI20" s="14"/>
      <c r="CJ20" s="14"/>
      <c r="CK20" s="14"/>
    </row>
    <row r="21" spans="2:89" ht="15" customHeight="1" x14ac:dyDescent="0.3">
      <c r="C21" s="4" t="s">
        <v>97</v>
      </c>
      <c r="I21" s="67"/>
      <c r="J21" s="16" t="s">
        <v>81</v>
      </c>
      <c r="K21" s="83"/>
      <c r="L21" s="67"/>
      <c r="M21" s="16" t="s">
        <v>82</v>
      </c>
      <c r="W21" s="2" t="s">
        <v>252</v>
      </c>
      <c r="X21" s="67"/>
      <c r="Y21" s="4" t="s">
        <v>226</v>
      </c>
      <c r="AM21" s="25">
        <f>IF(AND(ISBLANK(I21),ISBLANK(L21)),0,1)</f>
        <v>0</v>
      </c>
      <c r="AN21" s="25">
        <f>IF(ISBLANK(I21),0,1)</f>
        <v>0</v>
      </c>
      <c r="AO21" s="25">
        <f>IF(ISBLANK(L21),0,2)</f>
        <v>0</v>
      </c>
      <c r="AP21" s="25">
        <f>IF(ISBLANK(I21),1,IF(ISBLANK(L21),2,3))</f>
        <v>1</v>
      </c>
      <c r="AQ21" s="25">
        <f>SUM(AN21:AO21)</f>
        <v>0</v>
      </c>
      <c r="AR21" s="24" t="s">
        <v>275</v>
      </c>
      <c r="AS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14"/>
      <c r="BW21" s="14"/>
      <c r="BX21" s="14"/>
      <c r="BY21" s="14"/>
      <c r="BZ21" s="14"/>
      <c r="CA21" s="14"/>
      <c r="CB21" s="14"/>
      <c r="CC21" s="14"/>
      <c r="CD21" s="14"/>
      <c r="CE21" s="14"/>
      <c r="CF21" s="14"/>
      <c r="CG21" s="14"/>
      <c r="CH21" s="14"/>
      <c r="CI21" s="14"/>
      <c r="CJ21" s="14"/>
      <c r="CK21" s="14"/>
    </row>
    <row r="22" spans="2:89" ht="15" customHeight="1" x14ac:dyDescent="0.3">
      <c r="AD22" s="82"/>
      <c r="AM22" s="17"/>
      <c r="AN22" s="17"/>
      <c r="AO22" s="18"/>
      <c r="AP22" s="17"/>
      <c r="AQ22" s="17"/>
      <c r="AR22" s="17"/>
      <c r="AS22" s="81">
        <f>AS7+1</f>
        <v>2</v>
      </c>
      <c r="AT22" s="78" t="s">
        <v>267</v>
      </c>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14"/>
      <c r="BW22" s="14"/>
      <c r="BX22" s="14"/>
      <c r="BY22" s="14"/>
      <c r="BZ22" s="14"/>
      <c r="CA22" s="14"/>
      <c r="CB22" s="14"/>
      <c r="CC22" s="14"/>
      <c r="CD22" s="14"/>
      <c r="CE22" s="14"/>
      <c r="CF22" s="14"/>
      <c r="CG22" s="14"/>
      <c r="CH22" s="14"/>
      <c r="CI22" s="14"/>
      <c r="CJ22" s="14"/>
      <c r="CK22" s="14"/>
    </row>
    <row r="23" spans="2:89" ht="15" customHeight="1" x14ac:dyDescent="0.3">
      <c r="B23" s="1" t="s">
        <v>276</v>
      </c>
      <c r="AD23" s="82"/>
      <c r="AM23" s="17"/>
      <c r="AN23" s="17"/>
      <c r="AO23" s="18"/>
      <c r="AP23" s="17"/>
      <c r="AQ23" s="17"/>
      <c r="AR23" s="17"/>
      <c r="AS23" s="81"/>
      <c r="AT23" s="78" t="s">
        <v>268</v>
      </c>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14"/>
      <c r="BW23" s="14"/>
      <c r="BX23" s="14"/>
      <c r="BY23" s="14"/>
      <c r="BZ23" s="14"/>
      <c r="CA23" s="14"/>
      <c r="CB23" s="14"/>
      <c r="CC23" s="14"/>
      <c r="CD23" s="14"/>
      <c r="CE23" s="14"/>
      <c r="CF23" s="14"/>
      <c r="CG23" s="14"/>
      <c r="CH23" s="14"/>
      <c r="CI23" s="14"/>
      <c r="CJ23" s="14"/>
      <c r="CK23" s="14"/>
    </row>
    <row r="24" spans="2:89" ht="4.95" customHeight="1" x14ac:dyDescent="0.3">
      <c r="B24" s="1"/>
      <c r="AD24" s="82"/>
      <c r="AM24" s="17"/>
      <c r="AN24" s="17"/>
      <c r="AO24" s="18"/>
      <c r="AP24" s="17"/>
      <c r="AQ24" s="17"/>
      <c r="AR24" s="17"/>
      <c r="AT24" s="6"/>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14"/>
      <c r="BW24" s="14"/>
      <c r="BX24" s="14"/>
      <c r="BY24" s="14"/>
      <c r="BZ24" s="14"/>
      <c r="CA24" s="14"/>
      <c r="CB24" s="14"/>
      <c r="CC24" s="14"/>
      <c r="CD24" s="14"/>
      <c r="CE24" s="14"/>
      <c r="CF24" s="14"/>
      <c r="CG24" s="14"/>
      <c r="CH24" s="14"/>
      <c r="CI24" s="14"/>
      <c r="CJ24" s="14"/>
      <c r="CK24" s="14"/>
    </row>
    <row r="25" spans="2:89" ht="15" customHeight="1" x14ac:dyDescent="0.3">
      <c r="D25" s="67"/>
      <c r="E25" s="4" t="s">
        <v>217</v>
      </c>
      <c r="G25" s="67"/>
      <c r="H25" s="4" t="s">
        <v>218</v>
      </c>
      <c r="I25" s="2"/>
      <c r="J25" s="4" t="s">
        <v>239</v>
      </c>
      <c r="AE25" s="2"/>
      <c r="AJ25" s="91"/>
      <c r="AK25" s="2"/>
      <c r="AL25" s="2"/>
      <c r="AM25" s="25">
        <f>IF(AND(ISBLANK(D25),ISBLANK(G25)),1,2)</f>
        <v>1</v>
      </c>
      <c r="AN25" s="25">
        <f>IF(ISBLANK(D25),1,2)</f>
        <v>1</v>
      </c>
      <c r="AO25" s="25">
        <f>IF(ISBLANK(D25),0,2)</f>
        <v>0</v>
      </c>
      <c r="AP25" s="25">
        <f>IF(ISBLANK(D25),1,IF(ISBLANK(G25),2,3))</f>
        <v>1</v>
      </c>
      <c r="AS25" s="81">
        <f>AS22+1</f>
        <v>3</v>
      </c>
      <c r="AT25" s="4" t="s">
        <v>284</v>
      </c>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14"/>
      <c r="BW25" s="14"/>
      <c r="BX25" s="14"/>
      <c r="BY25" s="14"/>
      <c r="BZ25" s="14"/>
      <c r="CA25" s="14"/>
      <c r="CB25" s="14"/>
      <c r="CC25" s="14"/>
      <c r="CD25" s="14"/>
      <c r="CE25" s="14"/>
      <c r="CF25" s="14"/>
      <c r="CG25" s="14"/>
      <c r="CH25" s="14"/>
      <c r="CI25" s="14"/>
      <c r="CJ25" s="14"/>
      <c r="CK25" s="14"/>
    </row>
    <row r="26" spans="2:89" ht="4.95" customHeight="1" x14ac:dyDescent="0.3">
      <c r="D26" s="2"/>
      <c r="E26" s="2"/>
      <c r="F26" s="2"/>
      <c r="G26" s="2"/>
      <c r="H26" s="2"/>
      <c r="I26" s="2"/>
      <c r="AE26" s="2"/>
      <c r="AF26" s="2"/>
      <c r="AG26" s="2"/>
      <c r="AH26" s="2"/>
      <c r="AJ26" s="91"/>
      <c r="AK26" s="2"/>
      <c r="AL26" s="2"/>
      <c r="AS26" s="77"/>
      <c r="AT26" s="6"/>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14"/>
      <c r="BW26" s="14"/>
      <c r="BX26" s="14"/>
      <c r="BY26" s="14"/>
      <c r="BZ26" s="14"/>
      <c r="CA26" s="14"/>
      <c r="CB26" s="14"/>
      <c r="CC26" s="14"/>
      <c r="CD26" s="14"/>
      <c r="CE26" s="14"/>
      <c r="CF26" s="14"/>
      <c r="CG26" s="14"/>
      <c r="CH26" s="14"/>
      <c r="CI26" s="14"/>
      <c r="CJ26" s="14"/>
      <c r="CK26" s="14"/>
    </row>
    <row r="27" spans="2:89" ht="15" customHeight="1" x14ac:dyDescent="0.3">
      <c r="D27" s="67"/>
      <c r="E27" s="4" t="s">
        <v>217</v>
      </c>
      <c r="G27" s="67"/>
      <c r="H27" s="4" t="s">
        <v>218</v>
      </c>
      <c r="I27" s="2"/>
      <c r="J27" s="4" t="s">
        <v>262</v>
      </c>
      <c r="AJ27" s="104" t="s">
        <v>260</v>
      </c>
      <c r="AK27" s="2"/>
      <c r="AL27" s="2"/>
      <c r="AM27" s="25">
        <f>IF(AND(ISBLANK(D27),ISBLANK(G27)),1,2)</f>
        <v>1</v>
      </c>
      <c r="AN27" s="25">
        <f>IF(ISBLANK(D27),1,2)</f>
        <v>1</v>
      </c>
      <c r="AO27" s="25">
        <f>IF(ISBLANK(D27),0,2)</f>
        <v>0</v>
      </c>
      <c r="AP27" s="25">
        <f>IF(ISBLANK(D27),1,IF(ISBLANK(G27),2,3))</f>
        <v>1</v>
      </c>
      <c r="AT27" s="4" t="s">
        <v>285</v>
      </c>
      <c r="AW27" s="77"/>
      <c r="AX27" s="77"/>
      <c r="AY27" s="77"/>
      <c r="AZ27" s="77"/>
      <c r="BA27" s="77"/>
      <c r="BB27" s="77"/>
      <c r="BC27" s="77"/>
      <c r="BD27" s="77"/>
      <c r="BE27" s="77"/>
      <c r="BG27" s="77"/>
      <c r="BH27" s="77"/>
      <c r="BI27" s="77"/>
      <c r="BJ27" s="77"/>
      <c r="BK27" s="77"/>
      <c r="BL27" s="77"/>
      <c r="BM27" s="77"/>
      <c r="BN27" s="77"/>
      <c r="BO27" s="77"/>
      <c r="BP27" s="77"/>
      <c r="BQ27" s="77"/>
      <c r="BR27" s="77"/>
      <c r="BS27" s="77"/>
      <c r="BT27" s="77"/>
      <c r="BU27" s="77"/>
      <c r="BV27" s="14"/>
      <c r="BW27" s="14"/>
      <c r="BX27" s="14"/>
      <c r="BY27" s="14"/>
      <c r="BZ27" s="14"/>
      <c r="CA27" s="14"/>
      <c r="CB27" s="14"/>
      <c r="CC27" s="14"/>
      <c r="CD27" s="14"/>
      <c r="CE27" s="14"/>
      <c r="CF27" s="14"/>
      <c r="CG27" s="14"/>
      <c r="CH27" s="14"/>
      <c r="CI27" s="14"/>
      <c r="CJ27" s="14"/>
      <c r="CK27" s="14"/>
    </row>
    <row r="28" spans="2:89" ht="4.95" customHeight="1" x14ac:dyDescent="0.3">
      <c r="D28" s="2"/>
      <c r="E28" s="2"/>
      <c r="F28" s="2"/>
      <c r="G28" s="2"/>
      <c r="H28" s="2"/>
      <c r="I28" s="2"/>
      <c r="AE28" s="2"/>
      <c r="AF28" s="2"/>
      <c r="AG28" s="2"/>
      <c r="AH28" s="2"/>
      <c r="AJ28" s="104"/>
      <c r="AK28" s="2"/>
      <c r="AL28" s="2"/>
      <c r="AS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14"/>
      <c r="BW28" s="14"/>
      <c r="BX28" s="14"/>
      <c r="BY28" s="14"/>
      <c r="BZ28" s="14"/>
      <c r="CA28" s="14"/>
      <c r="CB28" s="14"/>
      <c r="CC28" s="14"/>
      <c r="CD28" s="14"/>
      <c r="CE28" s="14"/>
      <c r="CF28" s="14"/>
      <c r="CG28" s="14"/>
      <c r="CH28" s="14"/>
      <c r="CI28" s="14"/>
      <c r="CJ28" s="14"/>
      <c r="CK28" s="14"/>
    </row>
    <row r="29" spans="2:89" ht="15" customHeight="1" x14ac:dyDescent="0.3">
      <c r="D29" s="67"/>
      <c r="E29" s="4" t="s">
        <v>217</v>
      </c>
      <c r="G29" s="67"/>
      <c r="H29" s="4" t="s">
        <v>218</v>
      </c>
      <c r="I29" s="2"/>
      <c r="J29" s="4" t="s">
        <v>240</v>
      </c>
      <c r="AJ29" s="104"/>
      <c r="AK29" s="2"/>
      <c r="AL29" s="2"/>
      <c r="AM29" s="25">
        <f>IF(AND(ISBLANK(D29),ISBLANK(G29)),1,2)</f>
        <v>1</v>
      </c>
      <c r="AN29" s="25">
        <f>IF(ISBLANK(D29),1,2)</f>
        <v>1</v>
      </c>
      <c r="AO29" s="25">
        <f>IF(ISBLANK(D29),0,2)</f>
        <v>0</v>
      </c>
      <c r="AP29" s="25">
        <f>IF(ISBLANK(D29),1,IF(ISBLANK(G29),2,3))</f>
        <v>1</v>
      </c>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14"/>
      <c r="BW29" s="14"/>
      <c r="BX29" s="14"/>
      <c r="BY29" s="14"/>
      <c r="BZ29" s="14"/>
      <c r="CA29" s="14"/>
      <c r="CB29" s="14"/>
      <c r="CC29" s="14"/>
      <c r="CD29" s="14"/>
      <c r="CE29" s="14"/>
      <c r="CF29" s="14"/>
      <c r="CG29" s="14"/>
      <c r="CH29" s="14"/>
      <c r="CI29" s="14"/>
      <c r="CJ29" s="14"/>
      <c r="CK29" s="14"/>
    </row>
    <row r="30" spans="2:89" ht="15" customHeight="1" x14ac:dyDescent="0.3">
      <c r="C30" s="86"/>
      <c r="D30" s="86"/>
      <c r="E30" s="86"/>
      <c r="F30" s="86"/>
      <c r="G30" s="2"/>
      <c r="AJ30" s="104"/>
      <c r="AK30" s="2"/>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14"/>
      <c r="BW30" s="14"/>
      <c r="BX30" s="14"/>
      <c r="BY30" s="14"/>
      <c r="BZ30" s="14"/>
      <c r="CA30" s="14"/>
      <c r="CB30" s="14"/>
      <c r="CC30" s="14"/>
      <c r="CD30" s="14"/>
      <c r="CE30" s="14"/>
      <c r="CF30" s="14"/>
      <c r="CG30" s="14"/>
      <c r="CH30" s="14"/>
      <c r="CI30" s="14"/>
      <c r="CJ30" s="14"/>
      <c r="CK30" s="14"/>
    </row>
    <row r="31" spans="2:89" ht="15" customHeight="1" x14ac:dyDescent="0.3">
      <c r="B31" s="1" t="s">
        <v>277</v>
      </c>
      <c r="C31" s="86"/>
      <c r="D31" s="86"/>
      <c r="E31" s="86"/>
      <c r="F31" s="86"/>
      <c r="G31" s="2"/>
      <c r="AJ31" s="104"/>
      <c r="AK31" s="2"/>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14"/>
      <c r="BW31" s="14"/>
      <c r="BX31" s="14"/>
      <c r="BY31" s="14"/>
      <c r="BZ31" s="14"/>
      <c r="CA31" s="14"/>
      <c r="CB31" s="14"/>
      <c r="CC31" s="14"/>
      <c r="CD31" s="14"/>
      <c r="CE31" s="14"/>
      <c r="CF31" s="14"/>
      <c r="CG31" s="14"/>
      <c r="CH31" s="14"/>
      <c r="CI31" s="14"/>
      <c r="CJ31" s="14"/>
      <c r="CK31" s="14"/>
    </row>
    <row r="32" spans="2:89" ht="15" customHeight="1" x14ac:dyDescent="0.3">
      <c r="B32" s="122" t="s">
        <v>278</v>
      </c>
      <c r="C32" s="122"/>
      <c r="D32" s="122"/>
      <c r="E32" s="122"/>
      <c r="F32" s="122"/>
      <c r="G32" s="2"/>
      <c r="H32" s="109" t="s">
        <v>248</v>
      </c>
      <c r="I32" s="109"/>
      <c r="J32" s="86"/>
      <c r="K32" s="109" t="s">
        <v>255</v>
      </c>
      <c r="L32" s="109"/>
      <c r="M32" s="109"/>
      <c r="N32" s="109"/>
      <c r="O32" s="109"/>
      <c r="P32" s="109"/>
      <c r="Q32" s="109"/>
      <c r="R32" s="109"/>
      <c r="S32" s="109"/>
      <c r="T32" s="86"/>
      <c r="U32" s="86" t="s">
        <v>259</v>
      </c>
      <c r="V32" s="86"/>
      <c r="W32" s="86"/>
      <c r="X32" s="86"/>
      <c r="Y32" s="86"/>
      <c r="Z32" s="119" t="s">
        <v>256</v>
      </c>
      <c r="AA32" s="109"/>
      <c r="AB32" s="109"/>
      <c r="AC32" s="109"/>
      <c r="AD32" s="109"/>
      <c r="AE32" s="109"/>
      <c r="AF32" s="109"/>
      <c r="AG32" s="109"/>
      <c r="AH32" s="109"/>
      <c r="AJ32" s="104"/>
      <c r="AK32" s="90"/>
      <c r="AL32" s="91"/>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14"/>
      <c r="BW32" s="14"/>
      <c r="BX32" s="14"/>
      <c r="BY32" s="14"/>
      <c r="BZ32" s="14"/>
      <c r="CA32" s="14"/>
      <c r="CB32" s="14"/>
      <c r="CC32" s="14"/>
      <c r="CD32" s="14"/>
      <c r="CE32" s="14"/>
      <c r="CF32" s="14"/>
      <c r="CG32" s="14"/>
      <c r="CH32" s="14"/>
      <c r="CI32" s="14"/>
      <c r="CJ32" s="14"/>
      <c r="CK32" s="14"/>
    </row>
    <row r="33" spans="2:89" ht="15" customHeight="1" x14ac:dyDescent="0.3">
      <c r="B33" s="122"/>
      <c r="C33" s="122"/>
      <c r="D33" s="122"/>
      <c r="E33" s="122"/>
      <c r="F33" s="122"/>
      <c r="H33" s="109" t="s">
        <v>220</v>
      </c>
      <c r="I33" s="109"/>
      <c r="J33" s="86"/>
      <c r="K33" s="109" t="s">
        <v>220</v>
      </c>
      <c r="L33" s="109"/>
      <c r="M33" s="109"/>
      <c r="N33" s="86"/>
      <c r="O33" s="86"/>
      <c r="P33" s="109" t="s">
        <v>219</v>
      </c>
      <c r="Q33" s="109"/>
      <c r="R33" s="109"/>
      <c r="S33" s="86"/>
      <c r="T33" s="86"/>
      <c r="U33" s="109" t="s">
        <v>220</v>
      </c>
      <c r="V33" s="109"/>
      <c r="W33" s="109"/>
      <c r="X33" s="109"/>
      <c r="Y33" s="86"/>
      <c r="Z33" s="109" t="s">
        <v>220</v>
      </c>
      <c r="AA33" s="109"/>
      <c r="AB33" s="109"/>
      <c r="AC33" s="86"/>
      <c r="AD33" s="86"/>
      <c r="AE33" s="109" t="s">
        <v>219</v>
      </c>
      <c r="AF33" s="109"/>
      <c r="AG33" s="109"/>
      <c r="AH33" s="86"/>
      <c r="AJ33" s="105"/>
      <c r="AL33" s="91"/>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14"/>
      <c r="BW33" s="14"/>
      <c r="BX33" s="14"/>
      <c r="BY33" s="14"/>
      <c r="BZ33" s="14"/>
      <c r="CA33" s="14"/>
      <c r="CB33" s="14"/>
      <c r="CC33" s="14"/>
      <c r="CD33" s="14"/>
      <c r="CE33" s="14"/>
      <c r="CF33" s="14"/>
      <c r="CG33" s="14"/>
      <c r="CH33" s="14"/>
      <c r="CI33" s="14"/>
      <c r="CJ33" s="14"/>
      <c r="CK33" s="14"/>
    </row>
    <row r="34" spans="2:89" ht="15" customHeight="1" x14ac:dyDescent="0.3">
      <c r="C34" s="87" t="s">
        <v>242</v>
      </c>
      <c r="D34" s="87"/>
      <c r="H34" s="117">
        <v>0.65</v>
      </c>
      <c r="I34" s="117"/>
      <c r="K34" s="108"/>
      <c r="L34" s="108"/>
      <c r="M34" s="108"/>
      <c r="N34" s="107" t="str">
        <f>IF($AQ$21=0,"Units?",IF($AQ$21=1,"ac",IF($AQ$21=2,"sq-ft","Error")))</f>
        <v>Units?</v>
      </c>
      <c r="O34" s="107"/>
      <c r="P34" s="106">
        <f>H34*K34</f>
        <v>0</v>
      </c>
      <c r="Q34" s="106"/>
      <c r="R34" s="106"/>
      <c r="S34" s="107" t="str">
        <f>IF($AQ$21=0,"Units?",IF($AQ$21=1,"ac",IF($AQ$21=2,"sq-ft","Error")))</f>
        <v>Units?</v>
      </c>
      <c r="T34" s="107"/>
      <c r="U34" s="108"/>
      <c r="V34" s="108"/>
      <c r="W34" s="108"/>
      <c r="X34" s="107" t="str">
        <f>IF($AQ$21=0,"Units?",IF($AQ$21=1,"ac",IF($AQ$21=2,"sq-ft","Error")))</f>
        <v>Units?</v>
      </c>
      <c r="Y34" s="107"/>
      <c r="Z34" s="106">
        <f>K34-U34</f>
        <v>0</v>
      </c>
      <c r="AA34" s="106"/>
      <c r="AB34" s="106"/>
      <c r="AC34" s="107" t="str">
        <f>IF($AQ$21=0,"Units?",IF($AQ$21=1,"ac",IF($AQ$21=2,"sq-ft","Error")))</f>
        <v>Units?</v>
      </c>
      <c r="AD34" s="107"/>
      <c r="AE34" s="106">
        <f>P34-(U34*H34)</f>
        <v>0</v>
      </c>
      <c r="AF34" s="106"/>
      <c r="AG34" s="106"/>
      <c r="AH34" s="107" t="str">
        <f>IF($AQ$21=0,"Units?",IF($AQ$21=1,"ac",IF($AQ$21=2,"sq-ft","Error")))</f>
        <v>Units?</v>
      </c>
      <c r="AI34" s="107"/>
      <c r="AJ34" s="67"/>
      <c r="AL34" s="91"/>
      <c r="AM34" s="25">
        <f>IF(ISBLANK(K34),1,2)</f>
        <v>1</v>
      </c>
      <c r="AN34" s="25">
        <f>IF(ISBLANK(K34),1,IF(K34-U34=0,2,1))</f>
        <v>1</v>
      </c>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14"/>
      <c r="BW34" s="14"/>
      <c r="BX34" s="14"/>
      <c r="BY34" s="14"/>
      <c r="BZ34" s="14"/>
      <c r="CA34" s="14"/>
      <c r="CB34" s="14"/>
      <c r="CC34" s="14"/>
      <c r="CD34" s="14"/>
      <c r="CE34" s="14"/>
      <c r="CF34" s="14"/>
      <c r="CG34" s="14"/>
      <c r="CH34" s="14"/>
      <c r="CI34" s="14"/>
      <c r="CJ34" s="14"/>
      <c r="CK34" s="14"/>
    </row>
    <row r="35" spans="2:89" ht="4.95" customHeight="1" x14ac:dyDescent="0.3">
      <c r="K35" s="79"/>
      <c r="L35" s="79"/>
      <c r="M35" s="79"/>
      <c r="P35" s="79"/>
      <c r="Q35" s="79"/>
      <c r="R35" s="79"/>
      <c r="U35" s="79"/>
      <c r="V35" s="79"/>
      <c r="W35" s="79"/>
      <c r="Z35" s="79"/>
      <c r="AA35" s="79"/>
      <c r="AB35" s="79"/>
      <c r="AE35" s="79"/>
      <c r="AF35" s="79"/>
      <c r="AG35" s="79"/>
      <c r="AJ35" s="27"/>
      <c r="AL35" s="91"/>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14"/>
      <c r="BW35" s="14"/>
      <c r="BX35" s="14"/>
      <c r="BY35" s="14"/>
      <c r="BZ35" s="14"/>
      <c r="CA35" s="14"/>
      <c r="CB35" s="14"/>
      <c r="CC35" s="14"/>
      <c r="CD35" s="14"/>
      <c r="CE35" s="14"/>
      <c r="CF35" s="14"/>
      <c r="CG35" s="14"/>
      <c r="CH35" s="14"/>
      <c r="CI35" s="14"/>
      <c r="CJ35" s="14"/>
      <c r="CK35" s="14"/>
    </row>
    <row r="36" spans="2:89" ht="15" customHeight="1" x14ac:dyDescent="0.3">
      <c r="C36" s="87" t="s">
        <v>243</v>
      </c>
      <c r="D36" s="87"/>
      <c r="H36" s="117">
        <v>0.38</v>
      </c>
      <c r="I36" s="117"/>
      <c r="K36" s="108"/>
      <c r="L36" s="108"/>
      <c r="M36" s="108"/>
      <c r="N36" s="107" t="str">
        <f>IF($AQ$21=0,"Units?",IF($AQ$21=1,"ac",IF($AQ$21=2,"sq-ft","Error")))</f>
        <v>Units?</v>
      </c>
      <c r="O36" s="107"/>
      <c r="P36" s="106">
        <f>H36*K36</f>
        <v>0</v>
      </c>
      <c r="Q36" s="106"/>
      <c r="R36" s="106"/>
      <c r="S36" s="107" t="str">
        <f>IF($AQ$21=0,"Units?",IF($AQ$21=1,"ac",IF($AQ$21=2,"sq-ft","Error")))</f>
        <v>Units?</v>
      </c>
      <c r="T36" s="107"/>
      <c r="U36" s="108"/>
      <c r="V36" s="108"/>
      <c r="W36" s="108"/>
      <c r="X36" s="107" t="str">
        <f>IF($AQ$21=0,"Units?",IF($AQ$21=1,"ac",IF($AQ$21=2,"sq-ft","Error")))</f>
        <v>Units?</v>
      </c>
      <c r="Y36" s="107"/>
      <c r="Z36" s="106">
        <f>K36-U36</f>
        <v>0</v>
      </c>
      <c r="AA36" s="106"/>
      <c r="AB36" s="106"/>
      <c r="AC36" s="107" t="str">
        <f>IF($AQ$21=0,"Units?",IF($AQ$21=1,"ac",IF($AQ$21=2,"sq-ft","Error")))</f>
        <v>Units?</v>
      </c>
      <c r="AD36" s="107"/>
      <c r="AE36" s="106">
        <f>P36-(U36*H36)</f>
        <v>0</v>
      </c>
      <c r="AF36" s="106"/>
      <c r="AG36" s="106"/>
      <c r="AH36" s="107" t="str">
        <f>IF($AQ$21=0,"Units?",IF($AQ$21=1,"ac",IF($AQ$21=2,"sq-ft","Error")))</f>
        <v>Units?</v>
      </c>
      <c r="AI36" s="107"/>
      <c r="AJ36" s="67"/>
      <c r="AL36" s="91"/>
      <c r="AM36" s="25">
        <f>IF(ISBLANK(K36),1,2)</f>
        <v>1</v>
      </c>
      <c r="AN36" s="25">
        <f>IF(ISBLANK(K36),1,IF(K36-U36=0,2,1))</f>
        <v>1</v>
      </c>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14"/>
      <c r="BW36" s="14"/>
      <c r="BX36" s="14"/>
      <c r="BY36" s="14"/>
      <c r="BZ36" s="14"/>
      <c r="CA36" s="14"/>
      <c r="CB36" s="14"/>
      <c r="CC36" s="14"/>
      <c r="CD36" s="14"/>
      <c r="CE36" s="14"/>
      <c r="CF36" s="14"/>
      <c r="CG36" s="14"/>
      <c r="CH36" s="14"/>
      <c r="CI36" s="14"/>
      <c r="CJ36" s="14"/>
      <c r="CK36" s="14"/>
    </row>
    <row r="37" spans="2:89" ht="4.95" customHeight="1" x14ac:dyDescent="0.3">
      <c r="K37" s="79"/>
      <c r="L37" s="79"/>
      <c r="M37" s="79"/>
      <c r="P37" s="79"/>
      <c r="Q37" s="79"/>
      <c r="R37" s="79"/>
      <c r="U37" s="79"/>
      <c r="V37" s="79"/>
      <c r="W37" s="79"/>
      <c r="Z37" s="79"/>
      <c r="AA37" s="79"/>
      <c r="AB37" s="79"/>
      <c r="AE37" s="79"/>
      <c r="AF37" s="79"/>
      <c r="AG37" s="79"/>
      <c r="AJ37" s="27"/>
      <c r="AL37" s="91"/>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14"/>
      <c r="BW37" s="14"/>
      <c r="BX37" s="14"/>
      <c r="BY37" s="14"/>
      <c r="BZ37" s="14"/>
      <c r="CA37" s="14"/>
      <c r="CB37" s="14"/>
      <c r="CC37" s="14"/>
      <c r="CD37" s="14"/>
      <c r="CE37" s="14"/>
      <c r="CF37" s="14"/>
      <c r="CG37" s="14"/>
      <c r="CH37" s="14"/>
      <c r="CI37" s="14"/>
      <c r="CJ37" s="14"/>
      <c r="CK37" s="14"/>
    </row>
    <row r="38" spans="2:89" ht="15" customHeight="1" x14ac:dyDescent="0.3">
      <c r="C38" s="87" t="s">
        <v>244</v>
      </c>
      <c r="D38" s="87"/>
      <c r="H38" s="117">
        <v>0.3</v>
      </c>
      <c r="I38" s="117"/>
      <c r="K38" s="108"/>
      <c r="L38" s="108"/>
      <c r="M38" s="108"/>
      <c r="N38" s="107" t="str">
        <f>IF($AQ$21=0,"Units?",IF($AQ$21=1,"ac",IF($AQ$21=2,"sq-ft","Error")))</f>
        <v>Units?</v>
      </c>
      <c r="O38" s="107"/>
      <c r="P38" s="106">
        <f>H38*K38</f>
        <v>0</v>
      </c>
      <c r="Q38" s="106"/>
      <c r="R38" s="106"/>
      <c r="S38" s="107" t="str">
        <f>IF($AQ$21=0,"Units?",IF($AQ$21=1,"ac",IF($AQ$21=2,"sq-ft","Error")))</f>
        <v>Units?</v>
      </c>
      <c r="T38" s="107"/>
      <c r="U38" s="108"/>
      <c r="V38" s="108"/>
      <c r="W38" s="108"/>
      <c r="X38" s="107" t="str">
        <f>IF($AQ$21=0,"Units?",IF($AQ$21=1,"ac",IF($AQ$21=2,"sq-ft","Error")))</f>
        <v>Units?</v>
      </c>
      <c r="Y38" s="107"/>
      <c r="Z38" s="106">
        <f>K38-U38</f>
        <v>0</v>
      </c>
      <c r="AA38" s="106"/>
      <c r="AB38" s="106"/>
      <c r="AC38" s="107" t="str">
        <f>IF($AQ$21=0,"Units?",IF($AQ$21=1,"ac",IF($AQ$21=2,"sq-ft","Error")))</f>
        <v>Units?</v>
      </c>
      <c r="AD38" s="107"/>
      <c r="AE38" s="106">
        <f>P38-(U38*H38)</f>
        <v>0</v>
      </c>
      <c r="AF38" s="106"/>
      <c r="AG38" s="106"/>
      <c r="AH38" s="107" t="str">
        <f>IF($AQ$21=0,"Units?",IF($AQ$21=1,"ac",IF($AQ$21=2,"sq-ft","Error")))</f>
        <v>Units?</v>
      </c>
      <c r="AI38" s="107"/>
      <c r="AJ38" s="67"/>
      <c r="AL38" s="91"/>
      <c r="AM38" s="25">
        <f>IF(ISBLANK(K38),1,2)</f>
        <v>1</v>
      </c>
      <c r="AN38" s="25">
        <f>IF(ISBLANK(K38),1,IF(K38-U38=0,2,1))</f>
        <v>1</v>
      </c>
      <c r="AT38" s="77"/>
      <c r="AU38" s="78"/>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14"/>
      <c r="BW38" s="14"/>
      <c r="BX38" s="14"/>
      <c r="BY38" s="14"/>
      <c r="BZ38" s="14"/>
      <c r="CA38" s="14"/>
      <c r="CB38" s="14"/>
      <c r="CC38" s="14"/>
      <c r="CD38" s="14"/>
      <c r="CE38" s="14"/>
      <c r="CF38" s="14"/>
      <c r="CG38" s="14"/>
      <c r="CH38" s="14"/>
      <c r="CI38" s="14"/>
      <c r="CJ38" s="14"/>
      <c r="CK38" s="14"/>
    </row>
    <row r="39" spans="2:89" ht="4.95" customHeight="1" x14ac:dyDescent="0.3">
      <c r="K39" s="79"/>
      <c r="L39" s="79"/>
      <c r="M39" s="79"/>
      <c r="P39" s="79"/>
      <c r="Q39" s="79"/>
      <c r="R39" s="79"/>
      <c r="U39" s="79"/>
      <c r="V39" s="79"/>
      <c r="W39" s="79"/>
      <c r="Z39" s="79"/>
      <c r="AA39" s="79"/>
      <c r="AB39" s="79"/>
      <c r="AE39" s="79"/>
      <c r="AF39" s="79"/>
      <c r="AG39" s="79"/>
      <c r="AJ39" s="27"/>
      <c r="AL39" s="91"/>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14"/>
      <c r="BW39" s="14"/>
      <c r="BX39" s="14"/>
      <c r="BY39" s="14"/>
      <c r="BZ39" s="14"/>
      <c r="CA39" s="14"/>
      <c r="CB39" s="14"/>
      <c r="CC39" s="14"/>
      <c r="CD39" s="14"/>
      <c r="CE39" s="14"/>
      <c r="CF39" s="14"/>
      <c r="CG39" s="14"/>
      <c r="CH39" s="14"/>
      <c r="CI39" s="14"/>
      <c r="CJ39" s="14"/>
      <c r="CK39" s="14"/>
    </row>
    <row r="40" spans="2:89" ht="15" customHeight="1" x14ac:dyDescent="0.3">
      <c r="C40" s="87" t="s">
        <v>245</v>
      </c>
      <c r="D40" s="87"/>
      <c r="H40" s="117">
        <v>0.25</v>
      </c>
      <c r="I40" s="117"/>
      <c r="K40" s="108"/>
      <c r="L40" s="108"/>
      <c r="M40" s="108"/>
      <c r="N40" s="107" t="str">
        <f>IF($AQ$21=0,"Units?",IF($AQ$21=1,"ac",IF($AQ$21=2,"sq-ft","Error")))</f>
        <v>Units?</v>
      </c>
      <c r="O40" s="107"/>
      <c r="P40" s="106">
        <f>H40*K40</f>
        <v>0</v>
      </c>
      <c r="Q40" s="106"/>
      <c r="R40" s="106"/>
      <c r="S40" s="107" t="str">
        <f>IF($AQ$21=0,"Units?",IF($AQ$21=1,"ac",IF($AQ$21=2,"sq-ft","Error")))</f>
        <v>Units?</v>
      </c>
      <c r="T40" s="107"/>
      <c r="U40" s="108"/>
      <c r="V40" s="108"/>
      <c r="W40" s="108"/>
      <c r="X40" s="107" t="str">
        <f>IF($AQ$21=0,"Units?",IF($AQ$21=1,"ac",IF($AQ$21=2,"sq-ft","Error")))</f>
        <v>Units?</v>
      </c>
      <c r="Y40" s="107"/>
      <c r="Z40" s="106">
        <f>K40-U40</f>
        <v>0</v>
      </c>
      <c r="AA40" s="106"/>
      <c r="AB40" s="106"/>
      <c r="AC40" s="107" t="str">
        <f>IF($AQ$21=0,"Units?",IF($AQ$21=1,"ac",IF($AQ$21=2,"sq-ft","Error")))</f>
        <v>Units?</v>
      </c>
      <c r="AD40" s="107"/>
      <c r="AE40" s="106">
        <f>P40-(U40*H40)</f>
        <v>0</v>
      </c>
      <c r="AF40" s="106"/>
      <c r="AG40" s="106"/>
      <c r="AH40" s="107" t="str">
        <f>IF($AQ$21=0,"Units?",IF($AQ$21=1,"ac",IF($AQ$21=2,"sq-ft","Error")))</f>
        <v>Units?</v>
      </c>
      <c r="AI40" s="107"/>
      <c r="AJ40" s="67"/>
      <c r="AM40" s="25">
        <f>IF(ISBLANK(K40),1,2)</f>
        <v>1</v>
      </c>
      <c r="AN40" s="25">
        <f>IF(ISBLANK(K40),1,IF(K40-U40=0,2,1))</f>
        <v>1</v>
      </c>
      <c r="AS40" s="81"/>
      <c r="AT40" s="78"/>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14"/>
      <c r="BW40" s="14"/>
      <c r="BX40" s="14"/>
      <c r="BY40" s="14"/>
      <c r="BZ40" s="14"/>
      <c r="CA40" s="14"/>
      <c r="CB40" s="14"/>
      <c r="CC40" s="14"/>
      <c r="CD40" s="14"/>
      <c r="CE40" s="14"/>
      <c r="CF40" s="14"/>
      <c r="CG40" s="14"/>
      <c r="CH40" s="14"/>
      <c r="CI40" s="14"/>
      <c r="CJ40" s="14"/>
      <c r="CK40" s="14"/>
    </row>
    <row r="41" spans="2:89" ht="4.95" customHeight="1" x14ac:dyDescent="0.3">
      <c r="K41" s="79"/>
      <c r="L41" s="79"/>
      <c r="M41" s="79"/>
      <c r="P41" s="79"/>
      <c r="Q41" s="79"/>
      <c r="R41" s="79"/>
      <c r="U41" s="79"/>
      <c r="V41" s="79"/>
      <c r="W41" s="79"/>
      <c r="Z41" s="79"/>
      <c r="AA41" s="79"/>
      <c r="AB41" s="79"/>
      <c r="AE41" s="79"/>
      <c r="AF41" s="79"/>
      <c r="AG41" s="79"/>
      <c r="AJ41" s="2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14"/>
      <c r="BW41" s="14"/>
      <c r="BX41" s="14"/>
      <c r="BY41" s="14"/>
      <c r="BZ41" s="14"/>
      <c r="CA41" s="14"/>
      <c r="CB41" s="14"/>
      <c r="CC41" s="14"/>
      <c r="CD41" s="14"/>
      <c r="CE41" s="14"/>
      <c r="CF41" s="14"/>
      <c r="CG41" s="14"/>
      <c r="CH41" s="14"/>
      <c r="CI41" s="14"/>
      <c r="CJ41" s="14"/>
      <c r="CK41" s="14"/>
    </row>
    <row r="42" spans="2:89" ht="15" customHeight="1" x14ac:dyDescent="0.3">
      <c r="C42" s="87" t="s">
        <v>246</v>
      </c>
      <c r="D42" s="87"/>
      <c r="H42" s="117">
        <v>0.2</v>
      </c>
      <c r="I42" s="117"/>
      <c r="K42" s="108"/>
      <c r="L42" s="108"/>
      <c r="M42" s="108"/>
      <c r="N42" s="107" t="str">
        <f>IF($AQ$21=0,"Units?",IF($AQ$21=1,"ac",IF($AQ$21=2,"sq-ft","Error")))</f>
        <v>Units?</v>
      </c>
      <c r="O42" s="107"/>
      <c r="P42" s="106">
        <f>H42*K42</f>
        <v>0</v>
      </c>
      <c r="Q42" s="106"/>
      <c r="R42" s="106"/>
      <c r="S42" s="107" t="str">
        <f>IF($AQ$21=0,"Units?",IF($AQ$21=1,"ac",IF($AQ$21=2,"sq-ft","Error")))</f>
        <v>Units?</v>
      </c>
      <c r="T42" s="107"/>
      <c r="U42" s="108"/>
      <c r="V42" s="108"/>
      <c r="W42" s="108"/>
      <c r="X42" s="107" t="str">
        <f>IF($AQ$21=0,"Units?",IF($AQ$21=1,"ac",IF($AQ$21=2,"sq-ft","Error")))</f>
        <v>Units?</v>
      </c>
      <c r="Y42" s="107"/>
      <c r="Z42" s="106">
        <f>K42-U42</f>
        <v>0</v>
      </c>
      <c r="AA42" s="106"/>
      <c r="AB42" s="106"/>
      <c r="AC42" s="107" t="str">
        <f>IF($AQ$21=0,"Units?",IF($AQ$21=1,"ac",IF($AQ$21=2,"sq-ft","Error")))</f>
        <v>Units?</v>
      </c>
      <c r="AD42" s="107"/>
      <c r="AE42" s="106">
        <f>P42-(U42*H42)</f>
        <v>0</v>
      </c>
      <c r="AF42" s="106"/>
      <c r="AG42" s="106"/>
      <c r="AH42" s="107" t="str">
        <f>IF($AQ$21=0,"Units?",IF($AQ$21=1,"ac",IF($AQ$21=2,"sq-ft","Error")))</f>
        <v>Units?</v>
      </c>
      <c r="AI42" s="107"/>
      <c r="AJ42" s="67"/>
      <c r="AM42" s="25">
        <f>IF(ISBLANK(K42),1,2)</f>
        <v>1</v>
      </c>
      <c r="AN42" s="25">
        <f>IF(ISBLANK(K42),1,IF(K42-U42=0,2,1))</f>
        <v>1</v>
      </c>
      <c r="AS42" s="81"/>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14"/>
      <c r="BW42" s="14"/>
      <c r="BX42" s="14"/>
      <c r="BY42" s="14"/>
      <c r="BZ42" s="14"/>
      <c r="CA42" s="14"/>
      <c r="CB42" s="14"/>
      <c r="CC42" s="14"/>
      <c r="CD42" s="14"/>
      <c r="CE42" s="14"/>
      <c r="CF42" s="14"/>
      <c r="CG42" s="14"/>
      <c r="CH42" s="14"/>
      <c r="CI42" s="14"/>
      <c r="CJ42" s="14"/>
      <c r="CK42" s="14"/>
    </row>
    <row r="43" spans="2:89" ht="4.95" customHeight="1" x14ac:dyDescent="0.3">
      <c r="K43" s="79"/>
      <c r="L43" s="79"/>
      <c r="M43" s="79"/>
      <c r="P43" s="79"/>
      <c r="Q43" s="79"/>
      <c r="R43" s="79"/>
      <c r="U43" s="79"/>
      <c r="V43" s="79"/>
      <c r="W43" s="79"/>
      <c r="Z43" s="79"/>
      <c r="AA43" s="79"/>
      <c r="AB43" s="79"/>
      <c r="AE43" s="79"/>
      <c r="AF43" s="79"/>
      <c r="AG43" s="79"/>
      <c r="AJ43" s="27"/>
      <c r="AW43" s="77"/>
      <c r="AX43" s="77"/>
      <c r="AY43" s="77"/>
      <c r="AZ43" s="77"/>
      <c r="BA43" s="77"/>
      <c r="BB43" s="77"/>
      <c r="BC43" s="77"/>
      <c r="BD43" s="77"/>
      <c r="BE43" s="77"/>
      <c r="BF43" s="77"/>
      <c r="BG43" s="77"/>
      <c r="BH43" s="77"/>
      <c r="BI43" s="77"/>
      <c r="BJ43" s="77"/>
      <c r="BK43" s="77"/>
      <c r="BL43" s="77"/>
      <c r="BM43" s="77"/>
      <c r="BN43" s="77"/>
      <c r="BO43" s="77"/>
      <c r="BP43" s="77"/>
      <c r="BQ43" s="77"/>
      <c r="BR43" s="77"/>
      <c r="BS43" s="77"/>
      <c r="BT43" s="77"/>
      <c r="BU43" s="77"/>
      <c r="BV43" s="14"/>
      <c r="BW43" s="14"/>
      <c r="BX43" s="14"/>
      <c r="BY43" s="14"/>
      <c r="BZ43" s="14"/>
      <c r="CA43" s="14"/>
      <c r="CB43" s="14"/>
      <c r="CC43" s="14"/>
      <c r="CD43" s="14"/>
      <c r="CE43" s="14"/>
      <c r="CF43" s="14"/>
      <c r="CG43" s="14"/>
      <c r="CH43" s="14"/>
      <c r="CI43" s="14"/>
      <c r="CJ43" s="14"/>
      <c r="CK43" s="14"/>
    </row>
    <row r="44" spans="2:89" ht="15" customHeight="1" x14ac:dyDescent="0.3">
      <c r="C44" s="87" t="s">
        <v>247</v>
      </c>
      <c r="D44" s="87"/>
      <c r="H44" s="117">
        <v>0.12</v>
      </c>
      <c r="I44" s="117"/>
      <c r="K44" s="108"/>
      <c r="L44" s="108"/>
      <c r="M44" s="108"/>
      <c r="N44" s="107" t="str">
        <f>IF($AQ$21=0,"Units?",IF($AQ$21=1,"ac",IF($AQ$21=2,"sq-ft","Error")))</f>
        <v>Units?</v>
      </c>
      <c r="O44" s="107"/>
      <c r="P44" s="106">
        <f>H44*K44</f>
        <v>0</v>
      </c>
      <c r="Q44" s="106"/>
      <c r="R44" s="106"/>
      <c r="S44" s="107" t="str">
        <f>IF($AQ$21=0,"Units?",IF($AQ$21=1,"ac",IF($AQ$21=2,"sq-ft","Error")))</f>
        <v>Units?</v>
      </c>
      <c r="T44" s="107"/>
      <c r="U44" s="108"/>
      <c r="V44" s="108"/>
      <c r="W44" s="108"/>
      <c r="X44" s="107" t="str">
        <f>IF($AQ$21=0,"Units?",IF($AQ$21=1,"ac",IF($AQ$21=2,"sq-ft","Error")))</f>
        <v>Units?</v>
      </c>
      <c r="Y44" s="107"/>
      <c r="Z44" s="106">
        <f>K44-U44</f>
        <v>0</v>
      </c>
      <c r="AA44" s="106"/>
      <c r="AB44" s="106"/>
      <c r="AC44" s="107" t="str">
        <f>IF($AQ$21=0,"Units?",IF($AQ$21=1,"ac",IF($AQ$21=2,"sq-ft","Error")))</f>
        <v>Units?</v>
      </c>
      <c r="AD44" s="107"/>
      <c r="AE44" s="106">
        <f>P44-(U44*H44)</f>
        <v>0</v>
      </c>
      <c r="AF44" s="106"/>
      <c r="AG44" s="106"/>
      <c r="AH44" s="107" t="str">
        <f>IF($AQ$21=0,"Units?",IF($AQ$21=1,"ac",IF($AQ$21=2,"sq-ft","Error")))</f>
        <v>Units?</v>
      </c>
      <c r="AI44" s="107"/>
      <c r="AJ44" s="67"/>
      <c r="AM44" s="25">
        <f>IF(ISBLANK(K44),1,2)</f>
        <v>1</v>
      </c>
      <c r="AN44" s="25">
        <f>IF(ISBLANK(K44),1,IF(K44-U44=0,2,1))</f>
        <v>1</v>
      </c>
      <c r="AS44" s="14"/>
      <c r="AT44" s="77"/>
      <c r="AU44" s="78"/>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14"/>
      <c r="BW44" s="14"/>
      <c r="BX44" s="14"/>
      <c r="BY44" s="14"/>
      <c r="BZ44" s="14"/>
      <c r="CA44" s="14"/>
      <c r="CB44" s="14"/>
      <c r="CC44" s="14"/>
      <c r="CD44" s="14"/>
      <c r="CE44" s="14"/>
      <c r="CF44" s="14"/>
      <c r="CG44" s="14"/>
      <c r="CH44" s="14"/>
      <c r="CI44" s="14"/>
      <c r="CJ44" s="14"/>
      <c r="CK44" s="14"/>
    </row>
    <row r="45" spans="2:89" ht="4.95" customHeight="1" x14ac:dyDescent="0.3">
      <c r="K45" s="79"/>
      <c r="L45" s="79"/>
      <c r="M45" s="79"/>
      <c r="P45" s="79"/>
      <c r="Q45" s="79"/>
      <c r="R45" s="79"/>
      <c r="U45" s="79"/>
      <c r="V45" s="79"/>
      <c r="W45" s="79"/>
      <c r="Z45" s="79"/>
      <c r="AA45" s="79"/>
      <c r="AB45" s="79"/>
      <c r="AE45" s="79"/>
      <c r="AF45" s="79"/>
      <c r="AG45" s="79"/>
      <c r="AJ45" s="27"/>
      <c r="AS45" s="14"/>
      <c r="AT45" s="77"/>
      <c r="AU45" s="78"/>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14"/>
      <c r="BW45" s="14"/>
      <c r="BX45" s="14"/>
      <c r="BY45" s="14"/>
      <c r="BZ45" s="14"/>
      <c r="CA45" s="14"/>
      <c r="CB45" s="14"/>
      <c r="CC45" s="14"/>
      <c r="CD45" s="14"/>
      <c r="CE45" s="14"/>
      <c r="CF45" s="14"/>
      <c r="CG45" s="14"/>
      <c r="CH45" s="14"/>
      <c r="CI45" s="14"/>
      <c r="CJ45" s="14"/>
      <c r="CK45" s="14"/>
    </row>
    <row r="46" spans="2:89" ht="15" customHeight="1" x14ac:dyDescent="0.3">
      <c r="C46" s="123"/>
      <c r="D46" s="123"/>
      <c r="E46" s="123"/>
      <c r="F46" s="123"/>
      <c r="H46" s="124"/>
      <c r="I46" s="124"/>
      <c r="K46" s="108"/>
      <c r="L46" s="108"/>
      <c r="M46" s="108"/>
      <c r="N46" s="107" t="str">
        <f>IF($AQ$21=0,"Units?",IF($AQ$21=1,"ac",IF($AQ$21=2,"sq-ft","Error")))</f>
        <v>Units?</v>
      </c>
      <c r="O46" s="107"/>
      <c r="P46" s="106">
        <f>H46*K46</f>
        <v>0</v>
      </c>
      <c r="Q46" s="106"/>
      <c r="R46" s="106"/>
      <c r="S46" s="107" t="str">
        <f>IF($AQ$21=0,"Units?",IF($AQ$21=1,"ac",IF($AQ$21=2,"sq-ft","Error")))</f>
        <v>Units?</v>
      </c>
      <c r="T46" s="107"/>
      <c r="U46" s="108"/>
      <c r="V46" s="108"/>
      <c r="W46" s="108"/>
      <c r="X46" s="107" t="str">
        <f>IF($AQ$21=0,"Units?",IF($AQ$21=1,"ac",IF($AQ$21=2,"sq-ft","Error")))</f>
        <v>Units?</v>
      </c>
      <c r="Y46" s="107"/>
      <c r="Z46" s="106">
        <f>K46-U46</f>
        <v>0</v>
      </c>
      <c r="AA46" s="106"/>
      <c r="AB46" s="106"/>
      <c r="AC46" s="107" t="str">
        <f>IF($AQ$21=0,"Units?",IF($AQ$21=1,"ac",IF($AQ$21=2,"sq-ft","Error")))</f>
        <v>Units?</v>
      </c>
      <c r="AD46" s="107"/>
      <c r="AE46" s="106">
        <f>P46-(U46*H46)</f>
        <v>0</v>
      </c>
      <c r="AF46" s="106"/>
      <c r="AG46" s="106"/>
      <c r="AH46" s="107" t="str">
        <f>IF($AQ$21=0,"Units?",IF($AQ$21=1,"ac",IF($AQ$21=2,"sq-ft","Error")))</f>
        <v>Units?</v>
      </c>
      <c r="AI46" s="107"/>
      <c r="AJ46" s="67"/>
      <c r="AM46" s="25">
        <f>IF(ISBLANK(K46),1,2)</f>
        <v>1</v>
      </c>
      <c r="AN46" s="25">
        <f>IF(ISBLANK(K46),1,IF(K46-U46=0,2,1))</f>
        <v>1</v>
      </c>
      <c r="AS46" s="77"/>
      <c r="AT46" s="80"/>
      <c r="AU46" s="78"/>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14"/>
      <c r="BW46" s="14"/>
      <c r="BX46" s="14"/>
      <c r="BY46" s="14"/>
      <c r="BZ46" s="14"/>
      <c r="CA46" s="14"/>
      <c r="CB46" s="14"/>
      <c r="CC46" s="14"/>
      <c r="CD46" s="14"/>
      <c r="CE46" s="14"/>
      <c r="CF46" s="14"/>
      <c r="CG46" s="14"/>
      <c r="CH46" s="14"/>
      <c r="CI46" s="14"/>
      <c r="CJ46" s="14"/>
      <c r="CK46" s="14"/>
    </row>
    <row r="47" spans="2:89" ht="4.95" customHeight="1" x14ac:dyDescent="0.3">
      <c r="K47" s="79"/>
      <c r="L47" s="79"/>
      <c r="M47" s="79"/>
      <c r="P47" s="79"/>
      <c r="Q47" s="79"/>
      <c r="R47" s="79"/>
      <c r="U47" s="79"/>
      <c r="V47" s="79"/>
      <c r="W47" s="79"/>
      <c r="Z47" s="79"/>
      <c r="AA47" s="79"/>
      <c r="AB47" s="79"/>
      <c r="AE47" s="79"/>
      <c r="AF47" s="79"/>
      <c r="AG47" s="79"/>
      <c r="AJ47" s="27"/>
      <c r="AS47" s="77"/>
      <c r="AT47" s="80"/>
      <c r="AU47" s="78"/>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14"/>
      <c r="BW47" s="14"/>
      <c r="BX47" s="14"/>
      <c r="BY47" s="14"/>
      <c r="BZ47" s="14"/>
      <c r="CA47" s="14"/>
      <c r="CB47" s="14"/>
      <c r="CC47" s="14"/>
      <c r="CD47" s="14"/>
      <c r="CE47" s="14"/>
      <c r="CF47" s="14"/>
      <c r="CG47" s="14"/>
      <c r="CH47" s="14"/>
      <c r="CI47" s="14"/>
      <c r="CJ47" s="14"/>
      <c r="CK47" s="14"/>
    </row>
    <row r="48" spans="2:89" ht="15" customHeight="1" x14ac:dyDescent="0.3">
      <c r="C48" s="123"/>
      <c r="D48" s="123"/>
      <c r="E48" s="123"/>
      <c r="F48" s="123"/>
      <c r="H48" s="124"/>
      <c r="I48" s="124"/>
      <c r="K48" s="108"/>
      <c r="L48" s="108"/>
      <c r="M48" s="108"/>
      <c r="N48" s="107" t="str">
        <f>IF($AQ$21=0,"Units?",IF($AQ$21=1,"ac",IF($AQ$21=2,"sq-ft","Error")))</f>
        <v>Units?</v>
      </c>
      <c r="O48" s="107"/>
      <c r="P48" s="106">
        <f>H48*K48</f>
        <v>0</v>
      </c>
      <c r="Q48" s="106"/>
      <c r="R48" s="106"/>
      <c r="S48" s="107" t="str">
        <f>IF($AQ$21=0,"Units?",IF($AQ$21=1,"ac",IF($AQ$21=2,"sq-ft","Error")))</f>
        <v>Units?</v>
      </c>
      <c r="T48" s="107"/>
      <c r="U48" s="108"/>
      <c r="V48" s="108"/>
      <c r="W48" s="108"/>
      <c r="X48" s="107" t="str">
        <f>IF($AQ$21=0,"Units?",IF($AQ$21=1,"ac",IF($AQ$21=2,"sq-ft","Error")))</f>
        <v>Units?</v>
      </c>
      <c r="Y48" s="107"/>
      <c r="Z48" s="106">
        <f>K48-U48</f>
        <v>0</v>
      </c>
      <c r="AA48" s="106"/>
      <c r="AB48" s="106"/>
      <c r="AC48" s="107" t="str">
        <f>IF($AQ$21=0,"Units?",IF($AQ$21=1,"ac",IF($AQ$21=2,"sq-ft","Error")))</f>
        <v>Units?</v>
      </c>
      <c r="AD48" s="107"/>
      <c r="AE48" s="106">
        <f>P48-(U48*H48)</f>
        <v>0</v>
      </c>
      <c r="AF48" s="106"/>
      <c r="AG48" s="106"/>
      <c r="AH48" s="107" t="str">
        <f>IF($AQ$21=0,"Units?",IF($AQ$21=1,"ac",IF($AQ$21=2,"sq-ft","Error")))</f>
        <v>Units?</v>
      </c>
      <c r="AI48" s="107"/>
      <c r="AJ48" s="67"/>
      <c r="AM48" s="25">
        <f>IF(ISBLANK(K48),1,2)</f>
        <v>1</v>
      </c>
      <c r="AN48" s="25">
        <f>IF(ISBLANK(K48),1,IF(K48-U48=0,2,1))</f>
        <v>1</v>
      </c>
      <c r="AS48" s="14"/>
      <c r="AT48" s="77"/>
      <c r="AU48" s="78"/>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14"/>
      <c r="BW48" s="14"/>
      <c r="BX48" s="14"/>
      <c r="BY48" s="14"/>
      <c r="BZ48" s="14"/>
      <c r="CA48" s="14"/>
      <c r="CB48" s="14"/>
      <c r="CC48" s="14"/>
      <c r="CD48" s="14"/>
      <c r="CE48" s="14"/>
      <c r="CF48" s="14"/>
      <c r="CG48" s="14"/>
      <c r="CH48" s="14"/>
      <c r="CI48" s="14"/>
      <c r="CJ48" s="14"/>
      <c r="CK48" s="14"/>
    </row>
    <row r="49" spans="2:89" ht="4.95" customHeight="1" x14ac:dyDescent="0.3">
      <c r="K49" s="79"/>
      <c r="L49" s="79"/>
      <c r="M49" s="79"/>
      <c r="P49" s="79"/>
      <c r="Q49" s="79"/>
      <c r="R49" s="79"/>
      <c r="U49" s="79"/>
      <c r="V49" s="79"/>
      <c r="W49" s="79"/>
      <c r="Z49" s="79"/>
      <c r="AA49" s="79"/>
      <c r="AB49" s="79"/>
      <c r="AE49" s="79"/>
      <c r="AF49" s="79"/>
      <c r="AG49" s="79"/>
      <c r="AS49" s="14"/>
      <c r="AT49" s="77"/>
      <c r="AU49" s="78"/>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14"/>
      <c r="BW49" s="14"/>
      <c r="BX49" s="14"/>
      <c r="BY49" s="14"/>
      <c r="BZ49" s="14"/>
      <c r="CA49" s="14"/>
      <c r="CB49" s="14"/>
      <c r="CC49" s="14"/>
      <c r="CD49" s="14"/>
      <c r="CE49" s="14"/>
      <c r="CF49" s="14"/>
      <c r="CG49" s="14"/>
      <c r="CH49" s="14"/>
      <c r="CI49" s="14"/>
      <c r="CJ49" s="14"/>
      <c r="CK49" s="14"/>
    </row>
    <row r="50" spans="2:89" ht="15" customHeight="1" x14ac:dyDescent="0.3">
      <c r="C50" s="123"/>
      <c r="D50" s="123"/>
      <c r="E50" s="123"/>
      <c r="F50" s="123"/>
      <c r="H50" s="124"/>
      <c r="I50" s="124"/>
      <c r="K50" s="108"/>
      <c r="L50" s="108"/>
      <c r="M50" s="108"/>
      <c r="N50" s="107" t="str">
        <f>IF($AQ$21=0,"Units?",IF($AQ$21=1,"ac",IF($AQ$21=2,"sq-ft","Error")))</f>
        <v>Units?</v>
      </c>
      <c r="O50" s="107"/>
      <c r="P50" s="106">
        <f>H50*K50</f>
        <v>0</v>
      </c>
      <c r="Q50" s="106"/>
      <c r="R50" s="106"/>
      <c r="S50" s="107" t="str">
        <f>IF($AQ$21=0,"Units?",IF($AQ$21=1,"ac",IF($AQ$21=2,"sq-ft","Error")))</f>
        <v>Units?</v>
      </c>
      <c r="T50" s="107"/>
      <c r="U50" s="108"/>
      <c r="V50" s="108"/>
      <c r="W50" s="108"/>
      <c r="X50" s="107" t="str">
        <f>IF($AQ$21=0,"Units?",IF($AQ$21=1,"ac",IF($AQ$21=2,"sq-ft","Error")))</f>
        <v>Units?</v>
      </c>
      <c r="Y50" s="107"/>
      <c r="Z50" s="106">
        <f>K50-U50</f>
        <v>0</v>
      </c>
      <c r="AA50" s="106"/>
      <c r="AB50" s="106"/>
      <c r="AC50" s="107" t="str">
        <f>IF($AQ$21=0,"Units?",IF($AQ$21=1,"ac",IF($AQ$21=2,"sq-ft","Error")))</f>
        <v>Units?</v>
      </c>
      <c r="AD50" s="107"/>
      <c r="AE50" s="106">
        <f>P50-(U50*H50)</f>
        <v>0</v>
      </c>
      <c r="AF50" s="106"/>
      <c r="AG50" s="106"/>
      <c r="AH50" s="107" t="str">
        <f>IF($AQ$21=0,"Units?",IF($AQ$21=1,"ac",IF($AQ$21=2,"sq-ft","Error")))</f>
        <v>Units?</v>
      </c>
      <c r="AI50" s="107"/>
      <c r="AJ50" s="67"/>
      <c r="AM50" s="25">
        <f>IF(ISBLANK(K50),1,2)</f>
        <v>1</v>
      </c>
      <c r="AN50" s="25">
        <f>IF(ISBLANK(K50),1,IF(K50-U50=0,2,1))</f>
        <v>1</v>
      </c>
      <c r="AS50" s="14"/>
      <c r="AT50" s="77"/>
      <c r="AU50" s="78"/>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14"/>
      <c r="BW50" s="14"/>
      <c r="BX50" s="14"/>
      <c r="BY50" s="14"/>
      <c r="BZ50" s="14"/>
      <c r="CA50" s="14"/>
      <c r="CB50" s="14"/>
      <c r="CC50" s="14"/>
      <c r="CD50" s="14"/>
      <c r="CE50" s="14"/>
      <c r="CF50" s="14"/>
      <c r="CG50" s="14"/>
      <c r="CH50" s="14"/>
      <c r="CI50" s="14"/>
      <c r="CJ50" s="14"/>
      <c r="CK50" s="14"/>
    </row>
    <row r="51" spans="2:89" ht="4.95" customHeight="1" x14ac:dyDescent="0.3">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30"/>
      <c r="AS51" s="14"/>
      <c r="AT51" s="77"/>
      <c r="AU51" s="78"/>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14"/>
      <c r="BW51" s="14"/>
      <c r="BX51" s="14"/>
      <c r="BY51" s="14"/>
      <c r="BZ51" s="14"/>
      <c r="CA51" s="14"/>
      <c r="CB51" s="14"/>
      <c r="CC51" s="14"/>
      <c r="CD51" s="14"/>
      <c r="CE51" s="14"/>
      <c r="CF51" s="14"/>
      <c r="CG51" s="14"/>
      <c r="CH51" s="14"/>
      <c r="CI51" s="14"/>
      <c r="CJ51" s="14"/>
      <c r="CK51" s="14"/>
    </row>
    <row r="52" spans="2:89" ht="15" customHeight="1" x14ac:dyDescent="0.3">
      <c r="C52" s="123"/>
      <c r="D52" s="123"/>
      <c r="E52" s="123"/>
      <c r="F52" s="123"/>
      <c r="H52" s="124"/>
      <c r="I52" s="124"/>
      <c r="K52" s="108"/>
      <c r="L52" s="108"/>
      <c r="M52" s="108"/>
      <c r="N52" s="107" t="str">
        <f>IF($AQ$21=0,"Units?",IF($AQ$21=1,"ac",IF($AQ$21=2,"sq-ft","Error")))</f>
        <v>Units?</v>
      </c>
      <c r="O52" s="107"/>
      <c r="P52" s="106">
        <f>H52*K52</f>
        <v>0</v>
      </c>
      <c r="Q52" s="106"/>
      <c r="R52" s="106"/>
      <c r="S52" s="107" t="str">
        <f>IF($AQ$21=0,"Units?",IF($AQ$21=1,"ac",IF($AQ$21=2,"sq-ft","Error")))</f>
        <v>Units?</v>
      </c>
      <c r="T52" s="107"/>
      <c r="U52" s="108"/>
      <c r="V52" s="108"/>
      <c r="W52" s="108"/>
      <c r="X52" s="107" t="str">
        <f>IF($AQ$21=0,"Units?",IF($AQ$21=1,"ac",IF($AQ$21=2,"sq-ft","Error")))</f>
        <v>Units?</v>
      </c>
      <c r="Y52" s="107"/>
      <c r="Z52" s="106">
        <f>K52-U52</f>
        <v>0</v>
      </c>
      <c r="AA52" s="106"/>
      <c r="AB52" s="106"/>
      <c r="AC52" s="107" t="str">
        <f>IF($AQ$21=0,"Units?",IF($AQ$21=1,"ac",IF($AQ$21=2,"sq-ft","Error")))</f>
        <v>Units?</v>
      </c>
      <c r="AD52" s="107"/>
      <c r="AE52" s="106">
        <f>P52-(U52*H52)</f>
        <v>0</v>
      </c>
      <c r="AF52" s="106"/>
      <c r="AG52" s="106"/>
      <c r="AH52" s="107" t="str">
        <f>IF($AQ$21=0,"Units?",IF($AQ$21=1,"ac",IF($AQ$21=2,"sq-ft","Error")))</f>
        <v>Units?</v>
      </c>
      <c r="AI52" s="107"/>
      <c r="AJ52" s="67"/>
      <c r="AM52" s="25">
        <f>IF(ISBLANK(K52),1,2)</f>
        <v>1</v>
      </c>
      <c r="AN52" s="25">
        <f>IF(ISBLANK(K52),1,IF(K52-U52=0,2,1))</f>
        <v>1</v>
      </c>
      <c r="AS52" s="14"/>
      <c r="AT52" s="77"/>
      <c r="AU52" s="78"/>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14"/>
      <c r="BW52" s="14"/>
      <c r="BX52" s="14"/>
      <c r="BY52" s="14"/>
      <c r="BZ52" s="14"/>
      <c r="CA52" s="14"/>
      <c r="CB52" s="14"/>
      <c r="CC52" s="14"/>
      <c r="CD52" s="14"/>
      <c r="CE52" s="14"/>
      <c r="CF52" s="14"/>
      <c r="CG52" s="14"/>
      <c r="CH52" s="14"/>
      <c r="CI52" s="14"/>
      <c r="CJ52" s="14"/>
      <c r="CK52" s="14"/>
    </row>
    <row r="53" spans="2:89" ht="4.95" customHeight="1" x14ac:dyDescent="0.3">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30"/>
      <c r="AS53" s="14"/>
      <c r="AT53" s="77"/>
      <c r="AU53" s="78"/>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14"/>
      <c r="BW53" s="14"/>
      <c r="BX53" s="14"/>
      <c r="BY53" s="14"/>
      <c r="BZ53" s="14"/>
      <c r="CA53" s="14"/>
      <c r="CB53" s="14"/>
      <c r="CC53" s="14"/>
      <c r="CD53" s="14"/>
      <c r="CE53" s="14"/>
      <c r="CF53" s="14"/>
      <c r="CG53" s="14"/>
      <c r="CH53" s="14"/>
      <c r="CI53" s="14"/>
      <c r="CJ53" s="14"/>
      <c r="CK53" s="14"/>
    </row>
    <row r="54" spans="2:89" ht="15" customHeight="1" x14ac:dyDescent="0.3">
      <c r="C54" s="123"/>
      <c r="D54" s="123"/>
      <c r="E54" s="123"/>
      <c r="F54" s="123"/>
      <c r="H54" s="124"/>
      <c r="I54" s="124"/>
      <c r="K54" s="108"/>
      <c r="L54" s="108"/>
      <c r="M54" s="108"/>
      <c r="N54" s="107" t="str">
        <f>IF($AQ$21=0,"Units?",IF($AQ$21=1,"ac",IF($AQ$21=2,"sq-ft","Error")))</f>
        <v>Units?</v>
      </c>
      <c r="O54" s="107"/>
      <c r="P54" s="106">
        <f>H54*K54</f>
        <v>0</v>
      </c>
      <c r="Q54" s="106"/>
      <c r="R54" s="106"/>
      <c r="S54" s="107" t="str">
        <f>IF($AQ$21=0,"Units?",IF($AQ$21=1,"ac",IF($AQ$21=2,"sq-ft","Error")))</f>
        <v>Units?</v>
      </c>
      <c r="T54" s="107"/>
      <c r="U54" s="108"/>
      <c r="V54" s="108"/>
      <c r="W54" s="108"/>
      <c r="X54" s="107" t="str">
        <f>IF($AQ$21=0,"Units?",IF($AQ$21=1,"ac",IF($AQ$21=2,"sq-ft","Error")))</f>
        <v>Units?</v>
      </c>
      <c r="Y54" s="107"/>
      <c r="Z54" s="106">
        <f>K54-U54</f>
        <v>0</v>
      </c>
      <c r="AA54" s="106"/>
      <c r="AB54" s="106"/>
      <c r="AC54" s="107" t="str">
        <f>IF($AQ$21=0,"Units?",IF($AQ$21=1,"ac",IF($AQ$21=2,"sq-ft","Error")))</f>
        <v>Units?</v>
      </c>
      <c r="AD54" s="107"/>
      <c r="AE54" s="106">
        <f>P54-(U54*H54)</f>
        <v>0</v>
      </c>
      <c r="AF54" s="106"/>
      <c r="AG54" s="106"/>
      <c r="AH54" s="107" t="str">
        <f>IF($AQ$21=0,"Units?",IF($AQ$21=1,"ac",IF($AQ$21=2,"sq-ft","Error")))</f>
        <v>Units?</v>
      </c>
      <c r="AI54" s="107"/>
      <c r="AJ54" s="67"/>
      <c r="AM54" s="25">
        <f>IF(ISBLANK(K54),1,2)</f>
        <v>1</v>
      </c>
      <c r="AN54" s="25">
        <f>IF(ISBLANK(K54),1,IF(K54-U54=0,2,1))</f>
        <v>1</v>
      </c>
      <c r="AS54" s="14"/>
      <c r="AT54" s="77"/>
      <c r="AU54" s="78"/>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14"/>
      <c r="BW54" s="14"/>
      <c r="BX54" s="14"/>
      <c r="BY54" s="14"/>
      <c r="BZ54" s="14"/>
      <c r="CA54" s="14"/>
      <c r="CB54" s="14"/>
      <c r="CC54" s="14"/>
      <c r="CD54" s="14"/>
      <c r="CE54" s="14"/>
      <c r="CF54" s="14"/>
      <c r="CG54" s="14"/>
      <c r="CH54" s="14"/>
      <c r="CI54" s="14"/>
      <c r="CJ54" s="14"/>
      <c r="CK54" s="14"/>
    </row>
    <row r="55" spans="2:89" ht="15" customHeight="1" x14ac:dyDescent="0.3">
      <c r="AS55" s="14"/>
      <c r="AT55" s="77"/>
      <c r="AU55" s="78"/>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14"/>
      <c r="BW55" s="14"/>
      <c r="BX55" s="14"/>
      <c r="BY55" s="14"/>
      <c r="BZ55" s="14"/>
      <c r="CA55" s="14"/>
      <c r="CB55" s="14"/>
      <c r="CC55" s="14"/>
      <c r="CD55" s="14"/>
      <c r="CE55" s="14"/>
      <c r="CF55" s="14"/>
      <c r="CG55" s="14"/>
      <c r="CH55" s="14"/>
      <c r="CI55" s="14"/>
      <c r="CJ55" s="14"/>
      <c r="CK55" s="14"/>
    </row>
    <row r="56" spans="2:89" ht="15" customHeight="1" x14ac:dyDescent="0.3">
      <c r="J56" s="2" t="s">
        <v>258</v>
      </c>
      <c r="K56" s="121">
        <f>SUM(K34:M54)</f>
        <v>0</v>
      </c>
      <c r="L56" s="121"/>
      <c r="M56" s="121"/>
      <c r="N56" s="107" t="str">
        <f>IF($AQ$21=0,"Units?",IF($AQ$21=1,"ac",IF($AQ$21=2,"sq-ft","Error")))</f>
        <v>Units?</v>
      </c>
      <c r="O56" s="107"/>
      <c r="P56" s="116">
        <f>IF(ISERR(SUM(P34:R54)),0,SUM(P34:R54))</f>
        <v>0</v>
      </c>
      <c r="Q56" s="116"/>
      <c r="R56" s="116"/>
      <c r="S56" s="107" t="str">
        <f>IF($AQ$21=0,"Units?",IF($AQ$21=1,"ac",IF($AQ$21=2,"sq-ft","Error")))</f>
        <v>Units?</v>
      </c>
      <c r="T56" s="107"/>
      <c r="U56" s="116">
        <f>IF(ISERR(SUM(U34:W54)),0,SUM(U34:W54))</f>
        <v>0</v>
      </c>
      <c r="V56" s="116"/>
      <c r="W56" s="116"/>
      <c r="X56" s="107" t="str">
        <f>IF($AQ$21=0,"Units?",IF($AQ$21=1,"ac",IF($AQ$21=2,"sq-ft","Error")))</f>
        <v>Units?</v>
      </c>
      <c r="Y56" s="107"/>
      <c r="Z56" s="116">
        <f>IF(ISERR(SUM(Z34:AB54)),0,SUM(Z34:AB54))</f>
        <v>0</v>
      </c>
      <c r="AA56" s="116"/>
      <c r="AB56" s="116"/>
      <c r="AC56" s="107" t="str">
        <f>IF($AQ$21=0,"Units?",IF($AQ$21=1,"ac",IF($AQ$21=2,"sq-ft","Error")))</f>
        <v>Units?</v>
      </c>
      <c r="AD56" s="107"/>
      <c r="AE56" s="116">
        <f>IF(ISERR(SUM(AE34:AG54)),0,SUM(AE34:AG54))</f>
        <v>0</v>
      </c>
      <c r="AF56" s="116"/>
      <c r="AG56" s="116"/>
      <c r="AH56" s="107" t="str">
        <f>IF($AQ$21=0,"Units?",IF($AQ$21=1,"ac",IF($AQ$21=2,"sq-ft","Error")))</f>
        <v>Units?</v>
      </c>
      <c r="AI56" s="107"/>
      <c r="AS56" s="14"/>
      <c r="AT56" s="77"/>
      <c r="AU56" s="78"/>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14"/>
      <c r="BW56" s="14"/>
      <c r="BX56" s="14"/>
      <c r="BY56" s="14"/>
      <c r="BZ56" s="14"/>
      <c r="CA56" s="14"/>
      <c r="CB56" s="14"/>
      <c r="CC56" s="14"/>
      <c r="CD56" s="14"/>
      <c r="CE56" s="14"/>
      <c r="CF56" s="14"/>
      <c r="CG56" s="14"/>
      <c r="CH56" s="14"/>
      <c r="CI56" s="14"/>
      <c r="CJ56" s="14"/>
      <c r="CK56" s="14"/>
    </row>
    <row r="57" spans="2:89" ht="14.4" customHeight="1" x14ac:dyDescent="0.3">
      <c r="P57" s="110">
        <f>IF(ISERR(P56/$K56),0,P56/$K56*100)</f>
        <v>0</v>
      </c>
      <c r="Q57" s="110"/>
      <c r="R57" s="110"/>
      <c r="S57" s="4" t="s">
        <v>216</v>
      </c>
      <c r="U57" s="110">
        <f>IF(ISERR(U56/$K56),0,U56/$K56*100)</f>
        <v>0</v>
      </c>
      <c r="V57" s="110"/>
      <c r="W57" s="110"/>
      <c r="X57" s="4" t="s">
        <v>216</v>
      </c>
      <c r="Z57" s="110">
        <f>IF(ISERR(Z56/$K56),0,Z56/$K56*100)</f>
        <v>0</v>
      </c>
      <c r="AA57" s="110"/>
      <c r="AB57" s="110"/>
      <c r="AC57" s="4" t="s">
        <v>216</v>
      </c>
      <c r="AE57" s="110">
        <f>IF(ISERR(AE56/$K56),0,AE56/$K56*100)</f>
        <v>0</v>
      </c>
      <c r="AF57" s="110"/>
      <c r="AG57" s="110"/>
      <c r="AH57" s="4" t="s">
        <v>216</v>
      </c>
      <c r="AJ57" s="94"/>
      <c r="AS57" s="14"/>
      <c r="AT57" s="77"/>
      <c r="AU57" s="78"/>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14"/>
      <c r="BW57" s="14"/>
      <c r="BX57" s="14"/>
      <c r="BY57" s="14"/>
      <c r="BZ57" s="14"/>
      <c r="CA57" s="14"/>
      <c r="CB57" s="14"/>
      <c r="CC57" s="14"/>
      <c r="CD57" s="14"/>
      <c r="CE57" s="14"/>
      <c r="CF57" s="14"/>
      <c r="CG57" s="14"/>
      <c r="CH57" s="14"/>
      <c r="CI57" s="14"/>
      <c r="CJ57" s="14"/>
      <c r="CK57" s="14"/>
    </row>
    <row r="58" spans="2:89" ht="15" customHeight="1" x14ac:dyDescent="0.3">
      <c r="C58" s="86"/>
      <c r="D58" s="86"/>
      <c r="E58" s="86"/>
      <c r="F58" s="86"/>
      <c r="AJ58" s="94"/>
      <c r="AS58" s="14"/>
      <c r="AT58" s="77"/>
      <c r="AU58" s="78"/>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14"/>
      <c r="BW58" s="14"/>
      <c r="BX58" s="14"/>
      <c r="BY58" s="14"/>
      <c r="BZ58" s="14"/>
      <c r="CA58" s="14"/>
      <c r="CB58" s="14"/>
      <c r="CC58" s="14"/>
      <c r="CD58" s="14"/>
      <c r="CE58" s="14"/>
      <c r="CF58" s="14"/>
      <c r="CG58" s="14"/>
      <c r="CH58" s="14"/>
      <c r="CI58" s="14"/>
      <c r="CJ58" s="14"/>
      <c r="CK58" s="14"/>
    </row>
    <row r="59" spans="2:89" ht="15" customHeight="1" x14ac:dyDescent="0.3">
      <c r="C59" s="86"/>
      <c r="D59" s="86"/>
      <c r="E59" s="86"/>
      <c r="F59" s="86"/>
      <c r="AJ59" s="94"/>
      <c r="AS59" s="14"/>
      <c r="AT59" s="77"/>
      <c r="AU59" s="78"/>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14"/>
      <c r="BW59" s="14"/>
      <c r="BX59" s="14"/>
      <c r="BY59" s="14"/>
      <c r="BZ59" s="14"/>
      <c r="CA59" s="14"/>
      <c r="CB59" s="14"/>
      <c r="CC59" s="14"/>
      <c r="CD59" s="14"/>
      <c r="CE59" s="14"/>
      <c r="CF59" s="14"/>
      <c r="CG59" s="14"/>
      <c r="CH59" s="14"/>
      <c r="CI59" s="14"/>
      <c r="CJ59" s="14"/>
      <c r="CK59" s="14"/>
    </row>
    <row r="60" spans="2:89" ht="15" customHeight="1" x14ac:dyDescent="0.3">
      <c r="C60" s="86"/>
      <c r="D60" s="86"/>
      <c r="E60" s="86"/>
      <c r="F60" s="86"/>
      <c r="AJ60" s="94"/>
      <c r="AS60" s="14"/>
      <c r="AT60" s="77"/>
      <c r="AU60" s="78"/>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14"/>
      <c r="BW60" s="14"/>
      <c r="BX60" s="14"/>
      <c r="BY60" s="14"/>
      <c r="BZ60" s="14"/>
      <c r="CA60" s="14"/>
      <c r="CB60" s="14"/>
      <c r="CC60" s="14"/>
      <c r="CD60" s="14"/>
      <c r="CE60" s="14"/>
      <c r="CF60" s="14"/>
      <c r="CG60" s="14"/>
      <c r="CH60" s="14"/>
      <c r="CI60" s="14"/>
      <c r="CJ60" s="14"/>
      <c r="CK60" s="14"/>
    </row>
    <row r="61" spans="2:89" ht="15" customHeight="1" x14ac:dyDescent="0.3">
      <c r="AS61" s="14"/>
      <c r="AT61" s="77"/>
      <c r="AU61" s="78"/>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14"/>
      <c r="BW61" s="14"/>
      <c r="BX61" s="14"/>
      <c r="BY61" s="14"/>
      <c r="BZ61" s="14"/>
      <c r="CA61" s="14"/>
      <c r="CB61" s="14"/>
      <c r="CC61" s="14"/>
      <c r="CD61" s="14"/>
      <c r="CE61" s="14"/>
      <c r="CF61" s="14"/>
      <c r="CG61" s="14"/>
      <c r="CH61" s="14"/>
      <c r="CI61" s="14"/>
      <c r="CJ61" s="14"/>
      <c r="CK61" s="14"/>
    </row>
    <row r="62" spans="2:89" ht="15" customHeight="1" x14ac:dyDescent="0.3">
      <c r="B62" s="139">
        <f>Tables!F13</f>
        <v>46266</v>
      </c>
      <c r="C62" s="139"/>
      <c r="D62" s="139"/>
      <c r="E62" s="139"/>
      <c r="F62" s="139"/>
      <c r="G62" s="139"/>
      <c r="H62" s="139"/>
      <c r="R62" s="140" t="s">
        <v>215</v>
      </c>
      <c r="S62" s="140"/>
      <c r="T62" s="140"/>
      <c r="U62" s="140"/>
      <c r="AS62" s="14"/>
      <c r="AT62" s="77"/>
      <c r="AU62" s="78"/>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14"/>
      <c r="BW62" s="14"/>
      <c r="BX62" s="14"/>
      <c r="BY62" s="14"/>
      <c r="BZ62" s="14"/>
      <c r="CA62" s="14"/>
      <c r="CB62" s="14"/>
      <c r="CC62" s="14"/>
      <c r="CD62" s="14"/>
      <c r="CE62" s="14"/>
      <c r="CF62" s="14"/>
      <c r="CG62" s="14"/>
      <c r="CH62" s="14"/>
      <c r="CI62" s="14"/>
      <c r="CJ62" s="14"/>
      <c r="CK62" s="14"/>
    </row>
    <row r="63" spans="2:89" ht="15" customHeight="1" x14ac:dyDescent="0.3">
      <c r="C63" s="2" t="s">
        <v>30</v>
      </c>
      <c r="D63" s="125">
        <f>IF(ISBLANK($E$6),0,$E$6)</f>
        <v>0</v>
      </c>
      <c r="E63" s="125"/>
      <c r="F63" s="125"/>
      <c r="G63" s="125"/>
      <c r="H63" s="125"/>
      <c r="I63" s="125"/>
      <c r="J63" s="125"/>
      <c r="K63" s="125"/>
      <c r="L63" s="125"/>
      <c r="M63" s="125"/>
      <c r="N63" s="125"/>
      <c r="O63" s="125"/>
      <c r="P63" s="125"/>
      <c r="Q63" s="125"/>
      <c r="R63" s="125"/>
      <c r="S63" s="125"/>
      <c r="T63" s="125"/>
      <c r="U63" s="125"/>
      <c r="V63" s="125"/>
      <c r="W63" s="125"/>
      <c r="X63" s="125"/>
      <c r="Y63" s="125"/>
      <c r="AD63" s="2" t="s">
        <v>39</v>
      </c>
      <c r="AE63" s="145">
        <f>IF(ISBLANK($AE$6),0,$AE$6)</f>
        <v>0</v>
      </c>
      <c r="AF63" s="145"/>
      <c r="AG63" s="145"/>
      <c r="AH63" s="145"/>
      <c r="AI63" s="145"/>
      <c r="AJ63" s="145"/>
      <c r="AS63" s="14"/>
      <c r="AT63" s="77"/>
      <c r="AU63" s="78"/>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14"/>
      <c r="BW63" s="14"/>
      <c r="BX63" s="14"/>
      <c r="BY63" s="14"/>
      <c r="BZ63" s="14"/>
      <c r="CA63" s="14"/>
      <c r="CB63" s="14"/>
      <c r="CC63" s="14"/>
      <c r="CD63" s="14"/>
      <c r="CE63" s="14"/>
      <c r="CF63" s="14"/>
      <c r="CG63" s="14"/>
      <c r="CH63" s="14"/>
      <c r="CI63" s="14"/>
      <c r="CJ63" s="14"/>
      <c r="CK63" s="14"/>
    </row>
    <row r="64" spans="2:89" ht="15" customHeight="1" x14ac:dyDescent="0.3">
      <c r="C64" s="86"/>
      <c r="D64" s="86"/>
      <c r="E64" s="86"/>
      <c r="F64" s="86"/>
      <c r="AJ64" s="104" t="s">
        <v>260</v>
      </c>
      <c r="AS64" s="14"/>
      <c r="AT64" s="77"/>
      <c r="AU64" s="78"/>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14"/>
      <c r="BW64" s="14"/>
      <c r="BX64" s="14"/>
      <c r="BY64" s="14"/>
      <c r="BZ64" s="14"/>
      <c r="CA64" s="14"/>
      <c r="CB64" s="14"/>
      <c r="CC64" s="14"/>
      <c r="CD64" s="14"/>
      <c r="CE64" s="14"/>
      <c r="CF64" s="14"/>
      <c r="CG64" s="14"/>
      <c r="CH64" s="14"/>
      <c r="CI64" s="14"/>
      <c r="CJ64" s="14"/>
      <c r="CK64" s="14"/>
    </row>
    <row r="65" spans="2:89" ht="15" customHeight="1" x14ac:dyDescent="0.3">
      <c r="C65" s="86"/>
      <c r="D65" s="86"/>
      <c r="E65" s="86"/>
      <c r="F65" s="86"/>
      <c r="AJ65" s="104"/>
      <c r="AS65" s="14"/>
      <c r="AT65" s="77"/>
      <c r="AU65" s="78"/>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14"/>
      <c r="BW65" s="14"/>
      <c r="BX65" s="14"/>
      <c r="BY65" s="14"/>
      <c r="BZ65" s="14"/>
      <c r="CA65" s="14"/>
      <c r="CB65" s="14"/>
      <c r="CC65" s="14"/>
      <c r="CD65" s="14"/>
      <c r="CE65" s="14"/>
      <c r="CF65" s="14"/>
      <c r="CG65" s="14"/>
      <c r="CH65" s="14"/>
      <c r="CI65" s="14"/>
      <c r="CJ65" s="14"/>
      <c r="CK65" s="14"/>
    </row>
    <row r="66" spans="2:89" ht="15" customHeight="1" x14ac:dyDescent="0.3">
      <c r="B66" s="1" t="s">
        <v>279</v>
      </c>
      <c r="C66" s="86"/>
      <c r="D66" s="86"/>
      <c r="E66" s="86"/>
      <c r="F66" s="86"/>
      <c r="AJ66" s="104"/>
      <c r="AS66" s="14"/>
      <c r="AT66" s="77"/>
      <c r="AU66" s="78"/>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14"/>
      <c r="BW66" s="14"/>
      <c r="BX66" s="14"/>
      <c r="BY66" s="14"/>
      <c r="BZ66" s="14"/>
      <c r="CA66" s="14"/>
      <c r="CB66" s="14"/>
      <c r="CC66" s="14"/>
      <c r="CD66" s="14"/>
      <c r="CE66" s="14"/>
      <c r="CF66" s="14"/>
      <c r="CG66" s="14"/>
      <c r="CH66" s="14"/>
      <c r="CI66" s="14"/>
      <c r="CJ66" s="14"/>
      <c r="CK66" s="14"/>
    </row>
    <row r="67" spans="2:89" ht="15" customHeight="1" x14ac:dyDescent="0.3">
      <c r="B67" s="126" t="s">
        <v>20</v>
      </c>
      <c r="C67" s="126"/>
      <c r="D67" s="126"/>
      <c r="E67" s="126"/>
      <c r="F67" s="126"/>
      <c r="H67" s="109" t="s">
        <v>248</v>
      </c>
      <c r="I67" s="109"/>
      <c r="J67" s="86"/>
      <c r="K67" s="119" t="s">
        <v>255</v>
      </c>
      <c r="L67" s="119"/>
      <c r="M67" s="119"/>
      <c r="N67" s="119"/>
      <c r="O67" s="119"/>
      <c r="P67" s="119"/>
      <c r="Q67" s="119"/>
      <c r="R67" s="119"/>
      <c r="S67" s="119"/>
      <c r="T67" s="86"/>
      <c r="U67" s="109" t="s">
        <v>259</v>
      </c>
      <c r="V67" s="109"/>
      <c r="W67" s="109"/>
      <c r="X67" s="109"/>
      <c r="Y67" s="86"/>
      <c r="Z67" s="109" t="s">
        <v>256</v>
      </c>
      <c r="AA67" s="109"/>
      <c r="AB67" s="109"/>
      <c r="AC67" s="109"/>
      <c r="AD67" s="109"/>
      <c r="AE67" s="109"/>
      <c r="AF67" s="109"/>
      <c r="AG67" s="109"/>
      <c r="AH67" s="109"/>
      <c r="AJ67" s="104"/>
      <c r="AS67" s="14"/>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14"/>
      <c r="BW67" s="14"/>
      <c r="BX67" s="14"/>
      <c r="BY67" s="14"/>
      <c r="BZ67" s="14"/>
      <c r="CA67" s="14"/>
      <c r="CB67" s="14"/>
      <c r="CC67" s="14"/>
      <c r="CD67" s="14"/>
      <c r="CE67" s="14"/>
      <c r="CF67" s="14"/>
      <c r="CG67" s="14"/>
      <c r="CH67" s="14"/>
      <c r="CI67" s="14"/>
      <c r="CJ67" s="14"/>
      <c r="CK67" s="14"/>
    </row>
    <row r="68" spans="2:89" ht="15" customHeight="1" x14ac:dyDescent="0.3">
      <c r="B68" s="126"/>
      <c r="C68" s="126"/>
      <c r="D68" s="126"/>
      <c r="E68" s="126"/>
      <c r="F68" s="126"/>
      <c r="H68" s="109" t="s">
        <v>220</v>
      </c>
      <c r="I68" s="109"/>
      <c r="J68" s="86"/>
      <c r="K68" s="109" t="s">
        <v>220</v>
      </c>
      <c r="L68" s="109"/>
      <c r="M68" s="109"/>
      <c r="N68" s="86"/>
      <c r="O68" s="86"/>
      <c r="P68" s="109" t="s">
        <v>219</v>
      </c>
      <c r="Q68" s="109"/>
      <c r="R68" s="109"/>
      <c r="S68" s="86"/>
      <c r="T68" s="86"/>
      <c r="U68" s="109" t="s">
        <v>220</v>
      </c>
      <c r="V68" s="109"/>
      <c r="W68" s="109"/>
      <c r="X68" s="109"/>
      <c r="Y68" s="86"/>
      <c r="Z68" s="109" t="s">
        <v>220</v>
      </c>
      <c r="AA68" s="109"/>
      <c r="AB68" s="109"/>
      <c r="AC68" s="86"/>
      <c r="AD68" s="86"/>
      <c r="AE68" s="109" t="s">
        <v>219</v>
      </c>
      <c r="AF68" s="109"/>
      <c r="AG68" s="109"/>
      <c r="AH68" s="86"/>
      <c r="AJ68" s="105"/>
      <c r="AM68" s="24">
        <f>C68</f>
        <v>0</v>
      </c>
      <c r="AS68" s="14"/>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14"/>
      <c r="BW68" s="14"/>
      <c r="BX68" s="14"/>
      <c r="BY68" s="14"/>
      <c r="BZ68" s="14"/>
      <c r="CA68" s="14"/>
      <c r="CB68" s="14"/>
      <c r="CC68" s="14"/>
      <c r="CD68" s="14"/>
      <c r="CE68" s="14"/>
      <c r="CF68" s="14"/>
      <c r="CG68" s="14"/>
      <c r="CH68" s="14"/>
      <c r="CI68" s="14"/>
      <c r="CJ68" s="14"/>
      <c r="CK68" s="14"/>
    </row>
    <row r="69" spans="2:89" ht="15" customHeight="1" x14ac:dyDescent="0.3">
      <c r="C69" s="87" t="s">
        <v>249</v>
      </c>
      <c r="D69" s="87"/>
      <c r="H69" s="117">
        <v>0.85</v>
      </c>
      <c r="I69" s="117"/>
      <c r="K69" s="108"/>
      <c r="L69" s="108"/>
      <c r="M69" s="108"/>
      <c r="N69" s="107" t="str">
        <f>IF($AQ$21=0,"Units?",IF($AQ$21=1,"ac",IF($AQ$21=2,"sq-ft","Error")))</f>
        <v>Units?</v>
      </c>
      <c r="O69" s="107"/>
      <c r="P69" s="106">
        <f>H69*K69</f>
        <v>0</v>
      </c>
      <c r="Q69" s="106"/>
      <c r="R69" s="106"/>
      <c r="S69" s="107" t="str">
        <f>IF($AQ$21=0,"Units?",IF($AQ$21=1,"ac",IF($AQ$21=2,"sq-ft","Error")))</f>
        <v>Units?</v>
      </c>
      <c r="T69" s="107"/>
      <c r="U69" s="108"/>
      <c r="V69" s="108"/>
      <c r="W69" s="108"/>
      <c r="X69" s="107" t="str">
        <f>IF($AQ$21=0,"Units?",IF($AQ$21=1,"ac",IF($AQ$21=2,"sq-ft","Error")))</f>
        <v>Units?</v>
      </c>
      <c r="Y69" s="107"/>
      <c r="Z69" s="106">
        <f>K69-U69</f>
        <v>0</v>
      </c>
      <c r="AA69" s="106"/>
      <c r="AB69" s="106"/>
      <c r="AC69" s="107" t="str">
        <f>IF($AQ$21=0,"Units?",IF($AQ$21=1,"ac",IF($AQ$21=2,"sq-ft","Error")))</f>
        <v>Units?</v>
      </c>
      <c r="AD69" s="107"/>
      <c r="AE69" s="106">
        <f>P69-(U69*H69)</f>
        <v>0</v>
      </c>
      <c r="AF69" s="106"/>
      <c r="AG69" s="106"/>
      <c r="AH69" s="107" t="str">
        <f>IF($AQ$21=0,"Units?",IF($AQ$21=1,"ac",IF($AQ$21=2,"sq-ft","Error")))</f>
        <v>Units?</v>
      </c>
      <c r="AI69" s="107"/>
      <c r="AJ69" s="67"/>
      <c r="AM69" s="25">
        <f>IF(ISBLANK(K69),1,2)</f>
        <v>1</v>
      </c>
      <c r="AN69" s="25">
        <f>IF(ISBLANK(K69),1,IF(K69-U69=0,2,1))</f>
        <v>1</v>
      </c>
      <c r="AS69" s="14"/>
      <c r="AT69" s="77"/>
      <c r="AU69" s="78"/>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14"/>
      <c r="BW69" s="14"/>
      <c r="BX69" s="14"/>
      <c r="BY69" s="14"/>
      <c r="BZ69" s="14"/>
      <c r="CA69" s="14"/>
      <c r="CB69" s="14"/>
      <c r="CC69" s="14"/>
      <c r="CD69" s="14"/>
      <c r="CE69" s="14"/>
      <c r="CF69" s="14"/>
      <c r="CG69" s="14"/>
      <c r="CH69" s="14"/>
      <c r="CI69" s="14"/>
      <c r="CJ69" s="14"/>
      <c r="CK69" s="14"/>
    </row>
    <row r="70" spans="2:89" ht="4.95" customHeight="1" x14ac:dyDescent="0.3">
      <c r="K70" s="79"/>
      <c r="L70" s="79"/>
      <c r="M70" s="79"/>
      <c r="P70" s="79"/>
      <c r="Q70" s="79"/>
      <c r="R70" s="79"/>
      <c r="U70" s="79"/>
      <c r="V70" s="79"/>
      <c r="W70" s="79"/>
      <c r="Z70" s="79"/>
      <c r="AA70" s="79"/>
      <c r="AB70" s="79"/>
      <c r="AE70" s="79"/>
      <c r="AF70" s="79"/>
      <c r="AG70" s="79"/>
      <c r="AM70" s="24">
        <f>C70</f>
        <v>0</v>
      </c>
      <c r="AS70" s="14"/>
      <c r="AT70" s="77"/>
      <c r="AU70" s="78"/>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14"/>
      <c r="BW70" s="14"/>
      <c r="BX70" s="14"/>
      <c r="BY70" s="14"/>
      <c r="BZ70" s="14"/>
      <c r="CA70" s="14"/>
      <c r="CB70" s="14"/>
      <c r="CC70" s="14"/>
      <c r="CD70" s="14"/>
      <c r="CE70" s="14"/>
      <c r="CF70" s="14"/>
      <c r="CG70" s="14"/>
      <c r="CH70" s="14"/>
      <c r="CI70" s="14"/>
      <c r="CJ70" s="14"/>
      <c r="CK70" s="14"/>
    </row>
    <row r="71" spans="2:89" ht="15" customHeight="1" x14ac:dyDescent="0.3">
      <c r="C71" s="87" t="s">
        <v>250</v>
      </c>
      <c r="D71" s="87"/>
      <c r="H71" s="117">
        <v>0.72</v>
      </c>
      <c r="I71" s="117"/>
      <c r="K71" s="108"/>
      <c r="L71" s="108"/>
      <c r="M71" s="108"/>
      <c r="N71" s="107" t="str">
        <f>IF($AQ$21=0,"Units?",IF($AQ$21=1,"ac",IF($AQ$21=2,"sq-ft","Error")))</f>
        <v>Units?</v>
      </c>
      <c r="O71" s="107"/>
      <c r="P71" s="106">
        <f>H71*K71</f>
        <v>0</v>
      </c>
      <c r="Q71" s="106"/>
      <c r="R71" s="106"/>
      <c r="S71" s="107" t="str">
        <f>IF($AQ$21=0,"Units?",IF($AQ$21=1,"ac",IF($AQ$21=2,"sq-ft","Error")))</f>
        <v>Units?</v>
      </c>
      <c r="T71" s="107"/>
      <c r="U71" s="108"/>
      <c r="V71" s="108"/>
      <c r="W71" s="108"/>
      <c r="X71" s="107" t="str">
        <f>IF($AQ$21=0,"Units?",IF($AQ$21=1,"ac",IF($AQ$21=2,"sq-ft","Error")))</f>
        <v>Units?</v>
      </c>
      <c r="Y71" s="107"/>
      <c r="Z71" s="106">
        <f>K71-U71</f>
        <v>0</v>
      </c>
      <c r="AA71" s="106"/>
      <c r="AB71" s="106"/>
      <c r="AC71" s="107" t="str">
        <f>IF($AQ$21=0,"Units?",IF($AQ$21=1,"ac",IF($AQ$21=2,"sq-ft","Error")))</f>
        <v>Units?</v>
      </c>
      <c r="AD71" s="107"/>
      <c r="AE71" s="106">
        <f>P71-(U71*H71)</f>
        <v>0</v>
      </c>
      <c r="AF71" s="106"/>
      <c r="AG71" s="106"/>
      <c r="AH71" s="107" t="str">
        <f>IF($AQ$21=0,"Units?",IF($AQ$21=1,"ac",IF($AQ$21=2,"sq-ft","Error")))</f>
        <v>Units?</v>
      </c>
      <c r="AI71" s="107"/>
      <c r="AJ71" s="67"/>
      <c r="AM71" s="25">
        <f>IF(ISBLANK(K71),1,2)</f>
        <v>1</v>
      </c>
      <c r="AN71" s="25">
        <f>IF(ISBLANK(K71),1,IF(K71-U71=0,2,1))</f>
        <v>1</v>
      </c>
      <c r="AS71" s="14"/>
      <c r="AT71" s="77"/>
      <c r="AU71" s="78"/>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14"/>
      <c r="BW71" s="14"/>
      <c r="BX71" s="14"/>
      <c r="BY71" s="14"/>
      <c r="BZ71" s="14"/>
      <c r="CA71" s="14"/>
      <c r="CB71" s="14"/>
      <c r="CC71" s="14"/>
      <c r="CD71" s="14"/>
      <c r="CE71" s="14"/>
      <c r="CF71" s="14"/>
      <c r="CG71" s="14"/>
      <c r="CH71" s="14"/>
      <c r="CI71" s="14"/>
      <c r="CJ71" s="14"/>
      <c r="CK71" s="14"/>
    </row>
    <row r="72" spans="2:89" ht="4.95" customHeight="1" x14ac:dyDescent="0.3">
      <c r="K72" s="79"/>
      <c r="L72" s="79"/>
      <c r="M72" s="79"/>
      <c r="P72" s="79"/>
      <c r="Q72" s="79"/>
      <c r="R72" s="79"/>
      <c r="U72" s="79"/>
      <c r="V72" s="79"/>
      <c r="W72" s="79"/>
      <c r="Z72" s="79"/>
      <c r="AA72" s="79"/>
      <c r="AB72" s="79"/>
      <c r="AE72" s="79"/>
      <c r="AF72" s="79"/>
      <c r="AG72" s="79"/>
      <c r="AM72" s="24">
        <f>C72</f>
        <v>0</v>
      </c>
      <c r="AS72" s="14"/>
      <c r="AT72" s="77"/>
      <c r="AU72" s="78"/>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14"/>
      <c r="BW72" s="14"/>
      <c r="BX72" s="14"/>
      <c r="BY72" s="14"/>
      <c r="BZ72" s="14"/>
      <c r="CA72" s="14"/>
      <c r="CB72" s="14"/>
      <c r="CC72" s="14"/>
      <c r="CD72" s="14"/>
      <c r="CE72" s="14"/>
      <c r="CF72" s="14"/>
      <c r="CG72" s="14"/>
      <c r="CH72" s="14"/>
      <c r="CI72" s="14"/>
      <c r="CJ72" s="14"/>
      <c r="CK72" s="14"/>
    </row>
    <row r="73" spans="2:89" ht="15" customHeight="1" x14ac:dyDescent="0.3">
      <c r="C73" s="127"/>
      <c r="D73" s="127"/>
      <c r="E73" s="127"/>
      <c r="F73" s="127"/>
      <c r="H73" s="124"/>
      <c r="I73" s="124"/>
      <c r="K73" s="108"/>
      <c r="L73" s="108"/>
      <c r="M73" s="108"/>
      <c r="N73" s="107" t="str">
        <f>IF($AQ$21=0,"Units?",IF($AQ$21=1,"ac",IF($AQ$21=2,"sq-ft","Error")))</f>
        <v>Units?</v>
      </c>
      <c r="O73" s="107"/>
      <c r="P73" s="106">
        <f>H73*K73</f>
        <v>0</v>
      </c>
      <c r="Q73" s="106"/>
      <c r="R73" s="106"/>
      <c r="S73" s="107" t="str">
        <f>IF($AQ$21=0,"Units?",IF($AQ$21=1,"ac",IF($AQ$21=2,"sq-ft","Error")))</f>
        <v>Units?</v>
      </c>
      <c r="T73" s="107"/>
      <c r="U73" s="108"/>
      <c r="V73" s="108"/>
      <c r="W73" s="108"/>
      <c r="X73" s="107" t="str">
        <f>IF($AQ$21=0,"Units?",IF($AQ$21=1,"ac",IF($AQ$21=2,"sq-ft","Error")))</f>
        <v>Units?</v>
      </c>
      <c r="Y73" s="107"/>
      <c r="Z73" s="106">
        <f>K73-U73</f>
        <v>0</v>
      </c>
      <c r="AA73" s="106"/>
      <c r="AB73" s="106"/>
      <c r="AC73" s="107" t="str">
        <f>IF($AQ$21=0,"Units?",IF($AQ$21=1,"ac",IF($AQ$21=2,"sq-ft","Error")))</f>
        <v>Units?</v>
      </c>
      <c r="AD73" s="107"/>
      <c r="AE73" s="106">
        <f>P73-(U73*H73)</f>
        <v>0</v>
      </c>
      <c r="AF73" s="106"/>
      <c r="AG73" s="106"/>
      <c r="AH73" s="107" t="str">
        <f>IF($AQ$21=0,"Units?",IF($AQ$21=1,"ac",IF($AQ$21=2,"sq-ft","Error")))</f>
        <v>Units?</v>
      </c>
      <c r="AI73" s="107"/>
      <c r="AJ73" s="67"/>
      <c r="AM73" s="25">
        <f>IF(ISBLANK(K73),1,2)</f>
        <v>1</v>
      </c>
      <c r="AN73" s="25">
        <f>IF(ISBLANK(K73),1,IF(K73-U73=0,2,1))</f>
        <v>1</v>
      </c>
      <c r="AS73" s="14"/>
      <c r="AT73" s="77"/>
      <c r="AU73" s="78"/>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14"/>
      <c r="BW73" s="14"/>
      <c r="BX73" s="14"/>
      <c r="BY73" s="14"/>
      <c r="BZ73" s="14"/>
      <c r="CA73" s="14"/>
      <c r="CB73" s="14"/>
      <c r="CC73" s="14"/>
      <c r="CD73" s="14"/>
      <c r="CE73" s="14"/>
      <c r="CF73" s="14"/>
      <c r="CG73" s="14"/>
      <c r="CH73" s="14"/>
      <c r="CI73" s="14"/>
      <c r="CJ73" s="14"/>
      <c r="CK73" s="14"/>
    </row>
    <row r="74" spans="2:89" ht="4.95" customHeight="1" x14ac:dyDescent="0.3">
      <c r="K74" s="79"/>
      <c r="L74" s="79"/>
      <c r="M74" s="79"/>
      <c r="P74" s="79"/>
      <c r="Q74" s="79"/>
      <c r="R74" s="79"/>
      <c r="U74" s="79"/>
      <c r="V74" s="79"/>
      <c r="W74" s="79"/>
      <c r="Z74" s="79"/>
      <c r="AA74" s="79"/>
      <c r="AB74" s="79"/>
      <c r="AE74" s="79"/>
      <c r="AF74" s="79"/>
      <c r="AG74" s="79"/>
      <c r="AM74" s="24">
        <f>C74</f>
        <v>0</v>
      </c>
      <c r="AS74" s="14"/>
      <c r="AT74" s="77"/>
      <c r="AU74" s="78"/>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14"/>
      <c r="BW74" s="14"/>
      <c r="BX74" s="14"/>
      <c r="BY74" s="14"/>
      <c r="BZ74" s="14"/>
      <c r="CA74" s="14"/>
      <c r="CB74" s="14"/>
      <c r="CC74" s="14"/>
      <c r="CD74" s="14"/>
      <c r="CE74" s="14"/>
      <c r="CF74" s="14"/>
      <c r="CG74" s="14"/>
      <c r="CH74" s="14"/>
      <c r="CI74" s="14"/>
      <c r="CJ74" s="14"/>
      <c r="CK74" s="14"/>
    </row>
    <row r="75" spans="2:89" ht="15" customHeight="1" x14ac:dyDescent="0.3">
      <c r="C75" s="127"/>
      <c r="D75" s="127"/>
      <c r="E75" s="127"/>
      <c r="F75" s="127"/>
      <c r="H75" s="124"/>
      <c r="I75" s="124"/>
      <c r="K75" s="108"/>
      <c r="L75" s="108"/>
      <c r="M75" s="108"/>
      <c r="N75" s="107" t="str">
        <f>IF($AQ$21=0,"Units?",IF($AQ$21=1,"ac",IF($AQ$21=2,"sq-ft","Error")))</f>
        <v>Units?</v>
      </c>
      <c r="O75" s="107"/>
      <c r="P75" s="106">
        <f>H75*K75</f>
        <v>0</v>
      </c>
      <c r="Q75" s="106"/>
      <c r="R75" s="106"/>
      <c r="S75" s="107" t="str">
        <f>IF($AQ$21=0,"Units?",IF($AQ$21=1,"ac",IF($AQ$21=2,"sq-ft","Error")))</f>
        <v>Units?</v>
      </c>
      <c r="T75" s="107"/>
      <c r="U75" s="108"/>
      <c r="V75" s="108"/>
      <c r="W75" s="108"/>
      <c r="X75" s="107" t="str">
        <f>IF($AQ$21=0,"Units?",IF($AQ$21=1,"ac",IF($AQ$21=2,"sq-ft","Error")))</f>
        <v>Units?</v>
      </c>
      <c r="Y75" s="107"/>
      <c r="Z75" s="106">
        <f>K75-U75</f>
        <v>0</v>
      </c>
      <c r="AA75" s="106"/>
      <c r="AB75" s="106"/>
      <c r="AC75" s="107" t="str">
        <f>IF($AQ$21=0,"Units?",IF($AQ$21=1,"ac",IF($AQ$21=2,"sq-ft","Error")))</f>
        <v>Units?</v>
      </c>
      <c r="AD75" s="107"/>
      <c r="AE75" s="106">
        <f>P75-(U75*H75)</f>
        <v>0</v>
      </c>
      <c r="AF75" s="106"/>
      <c r="AG75" s="106"/>
      <c r="AH75" s="107" t="str">
        <f>IF($AQ$21=0,"Units?",IF($AQ$21=1,"ac",IF($AQ$21=2,"sq-ft","Error")))</f>
        <v>Units?</v>
      </c>
      <c r="AI75" s="107"/>
      <c r="AJ75" s="67"/>
      <c r="AM75" s="25">
        <f>IF(ISBLANK(K75),1,2)</f>
        <v>1</v>
      </c>
      <c r="AN75" s="25">
        <f>IF(ISBLANK(K75),1,IF(K75-U75=0,2,1))</f>
        <v>1</v>
      </c>
      <c r="AS75" s="14"/>
      <c r="AT75" s="77"/>
      <c r="AU75" s="78"/>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14"/>
      <c r="BW75" s="14"/>
      <c r="BX75" s="14"/>
      <c r="BY75" s="14"/>
      <c r="BZ75" s="14"/>
      <c r="CA75" s="14"/>
      <c r="CB75" s="14"/>
      <c r="CC75" s="14"/>
      <c r="CD75" s="14"/>
      <c r="CE75" s="14"/>
      <c r="CF75" s="14"/>
      <c r="CG75" s="14"/>
      <c r="CH75" s="14"/>
      <c r="CI75" s="14"/>
      <c r="CJ75" s="14"/>
      <c r="CK75" s="14"/>
    </row>
    <row r="76" spans="2:89" ht="4.95" customHeight="1" x14ac:dyDescent="0.3">
      <c r="K76" s="79"/>
      <c r="L76" s="79"/>
      <c r="M76" s="79"/>
      <c r="P76" s="79"/>
      <c r="Q76" s="79"/>
      <c r="R76" s="79"/>
      <c r="U76" s="79"/>
      <c r="V76" s="79"/>
      <c r="W76" s="79"/>
      <c r="Z76" s="79"/>
      <c r="AA76" s="79"/>
      <c r="AB76" s="79"/>
      <c r="AE76" s="79"/>
      <c r="AF76" s="79"/>
      <c r="AG76" s="79"/>
      <c r="AM76" s="24">
        <f>C76</f>
        <v>0</v>
      </c>
      <c r="AS76" s="14"/>
      <c r="AT76" s="77"/>
      <c r="AU76" s="78"/>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14"/>
      <c r="BW76" s="14"/>
      <c r="BX76" s="14"/>
      <c r="BY76" s="14"/>
      <c r="BZ76" s="14"/>
      <c r="CA76" s="14"/>
      <c r="CB76" s="14"/>
      <c r="CC76" s="14"/>
      <c r="CD76" s="14"/>
      <c r="CE76" s="14"/>
      <c r="CF76" s="14"/>
      <c r="CG76" s="14"/>
      <c r="CH76" s="14"/>
      <c r="CI76" s="14"/>
      <c r="CJ76" s="14"/>
      <c r="CK76" s="14"/>
    </row>
    <row r="77" spans="2:89" ht="15" customHeight="1" x14ac:dyDescent="0.3">
      <c r="C77" s="127"/>
      <c r="D77" s="127"/>
      <c r="E77" s="127"/>
      <c r="F77" s="127"/>
      <c r="H77" s="124"/>
      <c r="I77" s="124"/>
      <c r="K77" s="108"/>
      <c r="L77" s="108"/>
      <c r="M77" s="108"/>
      <c r="N77" s="107" t="str">
        <f>IF($AQ$21=0,"Units?",IF($AQ$21=1,"ac",IF($AQ$21=2,"sq-ft","Error")))</f>
        <v>Units?</v>
      </c>
      <c r="O77" s="107"/>
      <c r="P77" s="106">
        <f>H77*K77</f>
        <v>0</v>
      </c>
      <c r="Q77" s="106"/>
      <c r="R77" s="106"/>
      <c r="S77" s="107" t="str">
        <f>IF($AQ$21=0,"Units?",IF($AQ$21=1,"ac",IF($AQ$21=2,"sq-ft","Error")))</f>
        <v>Units?</v>
      </c>
      <c r="T77" s="107"/>
      <c r="U77" s="108"/>
      <c r="V77" s="108"/>
      <c r="W77" s="108"/>
      <c r="X77" s="107" t="str">
        <f>IF($AQ$21=0,"Units?",IF($AQ$21=1,"ac",IF($AQ$21=2,"sq-ft","Error")))</f>
        <v>Units?</v>
      </c>
      <c r="Y77" s="107"/>
      <c r="Z77" s="106">
        <f>K77-U77</f>
        <v>0</v>
      </c>
      <c r="AA77" s="106"/>
      <c r="AB77" s="106"/>
      <c r="AC77" s="107" t="str">
        <f>IF($AQ$21=0,"Units?",IF($AQ$21=1,"ac",IF($AQ$21=2,"sq-ft","Error")))</f>
        <v>Units?</v>
      </c>
      <c r="AD77" s="107"/>
      <c r="AE77" s="106">
        <f>P77-(U77*H77)</f>
        <v>0</v>
      </c>
      <c r="AF77" s="106"/>
      <c r="AG77" s="106"/>
      <c r="AH77" s="107" t="str">
        <f>IF($AQ$21=0,"Units?",IF($AQ$21=1,"ac",IF($AQ$21=2,"sq-ft","Error")))</f>
        <v>Units?</v>
      </c>
      <c r="AI77" s="107"/>
      <c r="AJ77" s="67"/>
      <c r="AM77" s="25">
        <f>IF(ISBLANK(K77),1,2)</f>
        <v>1</v>
      </c>
      <c r="AN77" s="25">
        <f>IF(ISBLANK(K77),1,IF(K77-U77=0,2,1))</f>
        <v>1</v>
      </c>
      <c r="AS77" s="14"/>
      <c r="AT77" s="77"/>
      <c r="AU77" s="78"/>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14"/>
      <c r="BW77" s="14"/>
      <c r="BX77" s="14"/>
      <c r="BY77" s="14"/>
      <c r="BZ77" s="14"/>
      <c r="CA77" s="14"/>
      <c r="CB77" s="14"/>
      <c r="CC77" s="14"/>
      <c r="CD77" s="14"/>
      <c r="CE77" s="14"/>
      <c r="CF77" s="14"/>
      <c r="CG77" s="14"/>
      <c r="CH77" s="14"/>
      <c r="CI77" s="14"/>
      <c r="CJ77" s="14"/>
      <c r="CK77" s="14"/>
    </row>
    <row r="78" spans="2:89" ht="4.95" customHeight="1" x14ac:dyDescent="0.3">
      <c r="AM78" s="24">
        <f>B78</f>
        <v>0</v>
      </c>
      <c r="AS78" s="14"/>
      <c r="AT78" s="77"/>
      <c r="AU78" s="78"/>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14"/>
      <c r="BW78" s="14"/>
      <c r="BX78" s="14"/>
      <c r="BY78" s="14"/>
      <c r="BZ78" s="14"/>
      <c r="CA78" s="14"/>
      <c r="CB78" s="14"/>
      <c r="CC78" s="14"/>
      <c r="CD78" s="14"/>
      <c r="CE78" s="14"/>
      <c r="CF78" s="14"/>
      <c r="CG78" s="14"/>
      <c r="CH78" s="14"/>
      <c r="CI78" s="14"/>
      <c r="CJ78" s="14"/>
      <c r="CK78" s="14"/>
    </row>
    <row r="79" spans="2:89" ht="15" customHeight="1" x14ac:dyDescent="0.3">
      <c r="J79" s="2" t="s">
        <v>257</v>
      </c>
      <c r="K79" s="121">
        <f>SUM(K69:M77)</f>
        <v>0</v>
      </c>
      <c r="L79" s="121"/>
      <c r="M79" s="121"/>
      <c r="N79" s="107" t="str">
        <f>IF($AQ$21=0,"Units?",IF($AQ$21=1,"ac",IF($AQ$21=2,"sq-ft","Error")))</f>
        <v>Units?</v>
      </c>
      <c r="O79" s="107"/>
      <c r="P79" s="116">
        <f>IF(ISERR(SUM(P69:R77)),0,SUM(P69:R77))</f>
        <v>0</v>
      </c>
      <c r="Q79" s="116"/>
      <c r="R79" s="116"/>
      <c r="S79" s="107" t="str">
        <f>IF($AQ$21=0,"Units?",IF($AQ$21=1,"ac",IF($AQ$21=2,"sq-ft","Error")))</f>
        <v>Units?</v>
      </c>
      <c r="T79" s="107"/>
      <c r="U79" s="116">
        <f>IF(ISERR(SUM(U69:W77)),0,SUM(U69:W77))</f>
        <v>0</v>
      </c>
      <c r="V79" s="116"/>
      <c r="W79" s="116"/>
      <c r="X79" s="107" t="str">
        <f>IF($AQ$21=0,"Units?",IF($AQ$21=1,"ac",IF($AQ$21=2,"sq-ft","Error")))</f>
        <v>Units?</v>
      </c>
      <c r="Y79" s="107"/>
      <c r="Z79" s="116">
        <f>IF(ISERR(SUM(Z69:AB77)),0,SUM(Z69:AB77))</f>
        <v>0</v>
      </c>
      <c r="AA79" s="116"/>
      <c r="AB79" s="116"/>
      <c r="AC79" s="107" t="str">
        <f>IF($AQ$21=0,"Units?",IF($AQ$21=1,"ac",IF($AQ$21=2,"sq-ft","Error")))</f>
        <v>Units?</v>
      </c>
      <c r="AD79" s="107"/>
      <c r="AE79" s="116">
        <f>IF(ISERR(SUM(AE69:AG77)),0,SUM(AE69:AG77))</f>
        <v>0</v>
      </c>
      <c r="AF79" s="116"/>
      <c r="AG79" s="116"/>
      <c r="AH79" s="107" t="str">
        <f>IF($AQ$21=0,"Units?",IF($AQ$21=1,"ac",IF($AQ$21=2,"sq-ft","Error")))</f>
        <v>Units?</v>
      </c>
      <c r="AI79" s="107"/>
      <c r="AS79" s="14"/>
      <c r="AT79" s="77"/>
      <c r="AU79" s="78"/>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14"/>
      <c r="BW79" s="14"/>
      <c r="BX79" s="14"/>
      <c r="BY79" s="14"/>
      <c r="BZ79" s="14"/>
      <c r="CA79" s="14"/>
      <c r="CB79" s="14"/>
      <c r="CC79" s="14"/>
      <c r="CD79" s="14"/>
      <c r="CE79" s="14"/>
      <c r="CF79" s="14"/>
      <c r="CG79" s="14"/>
      <c r="CH79" s="14"/>
      <c r="CI79" s="14"/>
      <c r="CJ79" s="14"/>
      <c r="CK79" s="14"/>
    </row>
    <row r="80" spans="2:89" ht="15" customHeight="1" x14ac:dyDescent="0.3">
      <c r="P80" s="110">
        <f>IF(ISERR(P79/$K79),0,P79/$K79*100)</f>
        <v>0</v>
      </c>
      <c r="Q80" s="110"/>
      <c r="R80" s="110"/>
      <c r="S80" s="4" t="s">
        <v>216</v>
      </c>
      <c r="U80" s="110">
        <f>IF(ISERR(U79/$K79),0,U79/$K79*100)</f>
        <v>0</v>
      </c>
      <c r="V80" s="110"/>
      <c r="W80" s="110"/>
      <c r="X80" s="4" t="s">
        <v>216</v>
      </c>
      <c r="Z80" s="110">
        <f>IF(ISERR(Z79/$K79),0,Z79/$K79*100)</f>
        <v>0</v>
      </c>
      <c r="AA80" s="110"/>
      <c r="AB80" s="110"/>
      <c r="AC80" s="4" t="s">
        <v>216</v>
      </c>
      <c r="AE80" s="110">
        <f>IF(ISERR(AE79/$K79),0,AE79/$K79*100)</f>
        <v>0</v>
      </c>
      <c r="AF80" s="110"/>
      <c r="AG80" s="110"/>
      <c r="AH80" s="4" t="s">
        <v>216</v>
      </c>
      <c r="AS80" s="14"/>
      <c r="AT80" s="77"/>
      <c r="AU80" s="78"/>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14"/>
      <c r="BW80" s="14"/>
      <c r="BX80" s="14"/>
      <c r="BY80" s="14"/>
      <c r="BZ80" s="14"/>
      <c r="CA80" s="14"/>
      <c r="CB80" s="14"/>
      <c r="CC80" s="14"/>
      <c r="CD80" s="14"/>
      <c r="CE80" s="14"/>
      <c r="CF80" s="14"/>
      <c r="CG80" s="14"/>
      <c r="CH80" s="14"/>
      <c r="CI80" s="14"/>
      <c r="CJ80" s="14"/>
      <c r="CK80" s="14"/>
    </row>
    <row r="81" spans="2:89" ht="15" customHeight="1" x14ac:dyDescent="0.3">
      <c r="AS81" s="14"/>
      <c r="AT81" s="77"/>
      <c r="AU81" s="78"/>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14"/>
      <c r="BW81" s="14"/>
      <c r="BX81" s="14"/>
      <c r="BY81" s="14"/>
      <c r="BZ81" s="14"/>
      <c r="CA81" s="14"/>
      <c r="CB81" s="14"/>
      <c r="CC81" s="14"/>
      <c r="CD81" s="14"/>
      <c r="CE81" s="14"/>
      <c r="CF81" s="14"/>
      <c r="CG81" s="14"/>
      <c r="CH81" s="14"/>
      <c r="CI81" s="14"/>
      <c r="CJ81" s="14"/>
      <c r="CK81" s="14"/>
    </row>
    <row r="82" spans="2:89" ht="15" customHeight="1" x14ac:dyDescent="0.3">
      <c r="J82" s="92" t="s">
        <v>261</v>
      </c>
      <c r="K82" s="121">
        <f>K56+K79</f>
        <v>0</v>
      </c>
      <c r="L82" s="121"/>
      <c r="M82" s="121"/>
      <c r="N82" s="107" t="str">
        <f>IF($AQ$21=0,"Units?",IF($AQ$21=1,"ac",IF($AQ$21=2,"sq-ft","Error")))</f>
        <v>Units?</v>
      </c>
      <c r="O82" s="107"/>
      <c r="P82" s="116">
        <f>P56+P79</f>
        <v>0</v>
      </c>
      <c r="Q82" s="116"/>
      <c r="R82" s="116"/>
      <c r="S82" s="107" t="str">
        <f>IF($AQ$21=0,"Units?",IF($AQ$21=1,"ac",IF($AQ$21=2,"sq-ft","Error")))</f>
        <v>Units?</v>
      </c>
      <c r="T82" s="107"/>
      <c r="U82" s="116">
        <f>U56+U79</f>
        <v>0</v>
      </c>
      <c r="V82" s="116"/>
      <c r="W82" s="116"/>
      <c r="X82" s="107" t="str">
        <f>IF($AQ$21=0,"Units?",IF($AQ$21=1,"ac",IF($AQ$21=2,"sq-ft","Error")))</f>
        <v>Units?</v>
      </c>
      <c r="Y82" s="107"/>
      <c r="Z82" s="116">
        <f>Z56+Z79</f>
        <v>0</v>
      </c>
      <c r="AA82" s="116"/>
      <c r="AB82" s="116"/>
      <c r="AC82" s="107" t="str">
        <f>IF($AQ$21=0,"Units?",IF($AQ$21=1,"ac",IF($AQ$21=2,"sq-ft","Error")))</f>
        <v>Units?</v>
      </c>
      <c r="AD82" s="107"/>
      <c r="AE82" s="116">
        <f>AE56+AE79</f>
        <v>0</v>
      </c>
      <c r="AF82" s="116"/>
      <c r="AG82" s="116"/>
      <c r="AH82" s="107" t="str">
        <f>IF($AQ$21=0,"Units?",IF($AQ$21=1,"ac",IF($AQ$21=2,"sq-ft","Error")))</f>
        <v>Units?</v>
      </c>
      <c r="AI82" s="107"/>
      <c r="AS82" s="14"/>
      <c r="AT82" s="77"/>
      <c r="AU82" s="78"/>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14"/>
      <c r="BW82" s="14"/>
      <c r="BX82" s="14"/>
      <c r="BY82" s="14"/>
      <c r="BZ82" s="14"/>
      <c r="CA82" s="14"/>
      <c r="CB82" s="14"/>
      <c r="CC82" s="14"/>
      <c r="CD82" s="14"/>
      <c r="CE82" s="14"/>
      <c r="CF82" s="14"/>
      <c r="CG82" s="14"/>
      <c r="CH82" s="14"/>
      <c r="CI82" s="14"/>
      <c r="CJ82" s="14"/>
      <c r="CK82" s="14"/>
    </row>
    <row r="83" spans="2:89" ht="15" customHeight="1" x14ac:dyDescent="0.3">
      <c r="P83" s="110">
        <f>IF(ISERR(P82/$K82),0,P82/$K82*100)</f>
        <v>0</v>
      </c>
      <c r="Q83" s="110"/>
      <c r="R83" s="110"/>
      <c r="S83" s="4" t="s">
        <v>216</v>
      </c>
      <c r="U83" s="110">
        <f>IF(ISERR(U82/$K82),0,U82/$K82*100)</f>
        <v>0</v>
      </c>
      <c r="V83" s="110"/>
      <c r="W83" s="110"/>
      <c r="X83" s="4" t="s">
        <v>216</v>
      </c>
      <c r="Z83" s="110">
        <f>IF(ISERR(Z82/$K82),0,Z82/$K82*100)</f>
        <v>0</v>
      </c>
      <c r="AA83" s="110"/>
      <c r="AB83" s="110"/>
      <c r="AC83" s="4" t="s">
        <v>216</v>
      </c>
      <c r="AE83" s="110">
        <f>IF(ISERR(AE82/$K82),0,AE82/$K82*100)</f>
        <v>0</v>
      </c>
      <c r="AF83" s="110"/>
      <c r="AG83" s="110"/>
      <c r="AH83" s="4" t="s">
        <v>216</v>
      </c>
      <c r="AS83" s="14"/>
      <c r="AT83" s="77"/>
      <c r="AU83" s="78"/>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14"/>
      <c r="BW83" s="14"/>
      <c r="BX83" s="14"/>
      <c r="BY83" s="14"/>
      <c r="BZ83" s="14"/>
      <c r="CA83" s="14"/>
      <c r="CB83" s="14"/>
      <c r="CC83" s="14"/>
      <c r="CD83" s="14"/>
      <c r="CE83" s="14"/>
      <c r="CF83" s="14"/>
      <c r="CG83" s="14"/>
      <c r="CH83" s="14"/>
      <c r="CI83" s="14"/>
      <c r="CJ83" s="14"/>
      <c r="CK83" s="14"/>
    </row>
    <row r="84" spans="2:89" ht="15" customHeight="1" x14ac:dyDescent="0.3">
      <c r="B84" s="9"/>
      <c r="AS84" s="14"/>
      <c r="AT84" s="77"/>
      <c r="AU84" s="78"/>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14"/>
      <c r="BW84" s="14"/>
      <c r="BX84" s="14"/>
      <c r="BY84" s="14"/>
      <c r="BZ84" s="14"/>
      <c r="CA84" s="14"/>
      <c r="CB84" s="14"/>
      <c r="CC84" s="14"/>
      <c r="CD84" s="14"/>
      <c r="CE84" s="14"/>
      <c r="CF84" s="14"/>
      <c r="CG84" s="14"/>
      <c r="CH84" s="14"/>
      <c r="CI84" s="14"/>
      <c r="CJ84" s="14"/>
      <c r="CK84" s="14"/>
    </row>
    <row r="85" spans="2:89" ht="15" customHeight="1" x14ac:dyDescent="0.3">
      <c r="B85" s="1" t="s">
        <v>281</v>
      </c>
      <c r="C85" s="1"/>
      <c r="D85" s="1"/>
      <c r="E85" s="1"/>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17"/>
      <c r="AN85" s="17"/>
      <c r="AS85" s="14"/>
      <c r="AT85" s="77"/>
      <c r="AU85" s="78"/>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14"/>
      <c r="BW85" s="14"/>
      <c r="BX85" s="14"/>
      <c r="BY85" s="14"/>
      <c r="BZ85" s="14"/>
      <c r="CA85" s="14"/>
      <c r="CB85" s="14"/>
      <c r="CC85" s="14"/>
      <c r="CD85" s="14"/>
      <c r="CE85" s="14"/>
      <c r="CF85" s="14"/>
      <c r="CG85" s="14"/>
      <c r="CH85" s="14"/>
      <c r="CI85" s="14"/>
      <c r="CJ85" s="14"/>
      <c r="CK85" s="14"/>
    </row>
    <row r="86" spans="2:89" ht="15" customHeight="1" x14ac:dyDescent="0.3">
      <c r="B86" s="1"/>
      <c r="C86" s="1"/>
      <c r="D86" s="1"/>
      <c r="F86" s="2" t="s">
        <v>280</v>
      </c>
      <c r="G86" s="112"/>
      <c r="H86" s="112"/>
      <c r="I86" s="112"/>
      <c r="J86" s="112"/>
      <c r="K86" s="112"/>
      <c r="L86" s="112"/>
      <c r="M86" s="112"/>
      <c r="N86" s="112"/>
      <c r="O86" s="112"/>
      <c r="P86" s="112"/>
      <c r="Q86" s="112"/>
      <c r="R86" s="112"/>
      <c r="S86" s="112"/>
      <c r="T86" s="112"/>
      <c r="U86" s="112"/>
      <c r="V86" s="112"/>
      <c r="W86" s="112"/>
      <c r="X86" s="112"/>
      <c r="Y86" s="112"/>
      <c r="Z86" s="112"/>
      <c r="AA86" s="112"/>
      <c r="AB86" s="6"/>
      <c r="AC86" s="6"/>
      <c r="AD86" s="6"/>
      <c r="AE86" s="6"/>
      <c r="AF86" s="6"/>
      <c r="AG86" s="6"/>
      <c r="AH86" s="6"/>
      <c r="AI86" s="6"/>
      <c r="AJ86" s="6"/>
      <c r="AK86" s="6"/>
      <c r="AL86" s="6"/>
      <c r="AM86" s="17"/>
      <c r="AN86" s="17"/>
      <c r="AS86" s="14"/>
      <c r="AT86" s="77"/>
      <c r="AU86" s="78"/>
      <c r="AV86" s="77"/>
      <c r="AW86" s="77"/>
      <c r="AX86" s="77"/>
      <c r="AY86" s="77"/>
      <c r="AZ86" s="77"/>
      <c r="BA86" s="77"/>
      <c r="BB86" s="77"/>
      <c r="BC86" s="77"/>
      <c r="BD86" s="77"/>
      <c r="BE86" s="77"/>
      <c r="BF86" s="77"/>
      <c r="BG86" s="77"/>
      <c r="BH86" s="77"/>
      <c r="BI86" s="77"/>
      <c r="BJ86" s="77"/>
      <c r="BK86" s="77"/>
      <c r="BL86" s="77"/>
      <c r="BM86" s="77"/>
      <c r="BN86" s="77"/>
      <c r="BO86" s="77"/>
      <c r="BP86" s="77"/>
      <c r="BQ86" s="77"/>
      <c r="BR86" s="77"/>
      <c r="BS86" s="77"/>
      <c r="BT86" s="77"/>
      <c r="BU86" s="77"/>
      <c r="BV86" s="14"/>
      <c r="BW86" s="14"/>
      <c r="BX86" s="14"/>
      <c r="BY86" s="14"/>
      <c r="BZ86" s="14"/>
      <c r="CA86" s="14"/>
      <c r="CB86" s="14"/>
      <c r="CC86" s="14"/>
      <c r="CD86" s="14"/>
      <c r="CE86" s="14"/>
      <c r="CF86" s="14"/>
      <c r="CG86" s="14"/>
      <c r="CH86" s="14"/>
      <c r="CI86" s="14"/>
      <c r="CJ86" s="14"/>
      <c r="CK86" s="14"/>
    </row>
    <row r="87" spans="2:89" ht="15" customHeight="1" x14ac:dyDescent="0.3">
      <c r="C87" s="2"/>
      <c r="D87" s="2"/>
      <c r="F87" s="2" t="s">
        <v>31</v>
      </c>
      <c r="G87" s="112"/>
      <c r="H87" s="112"/>
      <c r="I87" s="112"/>
      <c r="J87" s="112"/>
      <c r="K87" s="112"/>
      <c r="L87" s="112"/>
      <c r="M87" s="112"/>
      <c r="N87" s="112"/>
      <c r="O87" s="112"/>
      <c r="P87" s="112"/>
      <c r="Q87" s="112"/>
      <c r="R87" s="112"/>
      <c r="S87" s="112"/>
      <c r="T87" s="112"/>
      <c r="U87" s="112"/>
      <c r="V87" s="112"/>
      <c r="W87" s="112"/>
      <c r="X87" s="112"/>
      <c r="Y87" s="112"/>
      <c r="Z87" s="112"/>
      <c r="AA87" s="112"/>
      <c r="AB87" s="6"/>
      <c r="AC87" s="6"/>
      <c r="AD87" s="6"/>
      <c r="AE87" s="6"/>
      <c r="AF87" s="6"/>
      <c r="AG87" s="6"/>
      <c r="AH87" s="6"/>
      <c r="AI87" s="6"/>
      <c r="AJ87" s="6"/>
      <c r="AK87" s="6"/>
      <c r="AL87" s="6"/>
      <c r="AM87" s="17"/>
      <c r="AN87" s="17"/>
      <c r="AS87" s="14"/>
      <c r="AT87" s="77"/>
      <c r="AU87" s="78"/>
      <c r="AV87" s="77"/>
      <c r="AW87" s="77"/>
      <c r="AX87" s="77"/>
      <c r="AY87" s="77"/>
      <c r="AZ87" s="77"/>
      <c r="BA87" s="77"/>
      <c r="BB87" s="77"/>
      <c r="BC87" s="77"/>
      <c r="BD87" s="77"/>
      <c r="BE87" s="77"/>
      <c r="BF87" s="77"/>
      <c r="BG87" s="77"/>
      <c r="BH87" s="77"/>
      <c r="BI87" s="77"/>
      <c r="BJ87" s="77"/>
      <c r="BK87" s="77"/>
      <c r="BL87" s="77"/>
      <c r="BM87" s="77"/>
      <c r="BN87" s="77"/>
      <c r="BO87" s="77"/>
      <c r="BP87" s="77"/>
      <c r="BQ87" s="77"/>
      <c r="BR87" s="77"/>
      <c r="BS87" s="77"/>
      <c r="BT87" s="77"/>
      <c r="BU87" s="77"/>
      <c r="BV87" s="14"/>
      <c r="BW87" s="14"/>
      <c r="BX87" s="14"/>
      <c r="BY87" s="14"/>
      <c r="BZ87" s="14"/>
      <c r="CA87" s="14"/>
      <c r="CB87" s="14"/>
      <c r="CC87" s="14"/>
      <c r="CD87" s="14"/>
      <c r="CE87" s="14"/>
      <c r="CF87" s="14"/>
      <c r="CG87" s="14"/>
      <c r="CH87" s="14"/>
      <c r="CI87" s="14"/>
      <c r="CJ87" s="14"/>
      <c r="CK87" s="14"/>
    </row>
    <row r="88" spans="2:89" ht="15" customHeight="1" x14ac:dyDescent="0.3">
      <c r="C88" s="2"/>
      <c r="D88" s="2"/>
      <c r="F88" s="2" t="s">
        <v>211</v>
      </c>
      <c r="G88" s="114"/>
      <c r="H88" s="114"/>
      <c r="I88" s="114"/>
      <c r="J88" s="114"/>
      <c r="K88" s="114"/>
      <c r="L88" s="114"/>
      <c r="M88" s="114"/>
      <c r="N88" s="73"/>
      <c r="P88" s="75" t="s">
        <v>210</v>
      </c>
      <c r="Q88" s="114"/>
      <c r="R88" s="114"/>
      <c r="S88" s="114"/>
      <c r="T88" s="114"/>
      <c r="U88" s="73"/>
      <c r="V88" s="73"/>
      <c r="W88" s="73"/>
      <c r="X88" s="75" t="s">
        <v>209</v>
      </c>
      <c r="Y88" s="115"/>
      <c r="Z88" s="115"/>
      <c r="AA88" s="115"/>
      <c r="AB88" s="6"/>
      <c r="AC88" s="6"/>
      <c r="AD88" s="2"/>
      <c r="AL88" s="2"/>
      <c r="AM88" s="17"/>
      <c r="AN88" s="17"/>
      <c r="AS88" s="14"/>
      <c r="AT88" s="77"/>
      <c r="AU88" s="78"/>
      <c r="AV88" s="77"/>
      <c r="AW88" s="77"/>
      <c r="AX88" s="77"/>
      <c r="AY88" s="77"/>
      <c r="AZ88" s="77"/>
      <c r="BA88" s="77"/>
      <c r="BB88" s="77"/>
      <c r="BC88" s="77"/>
      <c r="BD88" s="77"/>
      <c r="BE88" s="77"/>
      <c r="BF88" s="77"/>
      <c r="BG88" s="77"/>
      <c r="BH88" s="77"/>
      <c r="BI88" s="77"/>
      <c r="BJ88" s="77"/>
      <c r="BK88" s="77"/>
      <c r="BL88" s="77"/>
      <c r="BM88" s="77"/>
      <c r="BN88" s="77"/>
      <c r="BO88" s="77"/>
      <c r="BP88" s="77"/>
      <c r="BQ88" s="77"/>
      <c r="BR88" s="77"/>
      <c r="BS88" s="77"/>
      <c r="BT88" s="77"/>
      <c r="BU88" s="77"/>
      <c r="BV88" s="14"/>
      <c r="BW88" s="14"/>
      <c r="BX88" s="14"/>
      <c r="BY88" s="14"/>
      <c r="BZ88" s="14"/>
      <c r="CA88" s="14"/>
      <c r="CB88" s="14"/>
      <c r="CC88" s="14"/>
      <c r="CD88" s="14"/>
      <c r="CE88" s="14"/>
      <c r="CF88" s="14"/>
      <c r="CG88" s="14"/>
      <c r="CH88" s="14"/>
      <c r="CI88" s="14"/>
      <c r="CJ88" s="14"/>
      <c r="CK88" s="14"/>
    </row>
    <row r="89" spans="2:89" ht="15" customHeight="1" x14ac:dyDescent="0.3">
      <c r="C89" s="2"/>
      <c r="D89" s="2"/>
      <c r="F89" s="2" t="s">
        <v>253</v>
      </c>
      <c r="G89" s="112"/>
      <c r="H89" s="112"/>
      <c r="I89" s="112"/>
      <c r="J89" s="112"/>
      <c r="K89" s="112"/>
      <c r="L89" s="112"/>
      <c r="M89" s="112"/>
      <c r="N89" s="112"/>
      <c r="O89" s="112"/>
      <c r="P89" s="112"/>
      <c r="Q89" s="112"/>
      <c r="R89" s="112"/>
      <c r="S89" s="73"/>
      <c r="T89" s="75" t="s">
        <v>254</v>
      </c>
      <c r="U89" s="144"/>
      <c r="V89" s="144"/>
      <c r="W89" s="144"/>
      <c r="X89" s="144"/>
      <c r="Y89" s="144"/>
      <c r="Z89" s="144"/>
      <c r="AA89" s="144"/>
      <c r="AE89" s="2"/>
      <c r="AK89" s="88"/>
      <c r="AL89" s="2"/>
      <c r="AM89" s="17"/>
      <c r="AN89" s="17"/>
      <c r="AS89" s="14"/>
      <c r="AT89" s="77"/>
      <c r="AU89" s="78"/>
      <c r="AV89" s="77"/>
      <c r="AW89" s="77"/>
      <c r="AX89" s="77"/>
      <c r="AY89" s="77"/>
      <c r="AZ89" s="77"/>
      <c r="BA89" s="77"/>
      <c r="BB89" s="77"/>
      <c r="BC89" s="77"/>
      <c r="BD89" s="77"/>
      <c r="BE89" s="77"/>
      <c r="BF89" s="77"/>
      <c r="BG89" s="77"/>
      <c r="BH89" s="77"/>
      <c r="BI89" s="77"/>
      <c r="BJ89" s="77"/>
      <c r="BK89" s="77"/>
      <c r="BL89" s="77"/>
      <c r="BM89" s="77"/>
      <c r="BN89" s="77"/>
      <c r="BO89" s="77"/>
      <c r="BP89" s="77"/>
      <c r="BQ89" s="77"/>
      <c r="BR89" s="77"/>
      <c r="BS89" s="77"/>
      <c r="BT89" s="77"/>
      <c r="BU89" s="77"/>
      <c r="BV89" s="14"/>
      <c r="BW89" s="14"/>
      <c r="BX89" s="14"/>
      <c r="BY89" s="14"/>
      <c r="BZ89" s="14"/>
      <c r="CA89" s="14"/>
      <c r="CB89" s="14"/>
      <c r="CC89" s="14"/>
      <c r="CD89" s="14"/>
      <c r="CE89" s="14"/>
      <c r="CF89" s="14"/>
      <c r="CG89" s="14"/>
      <c r="CH89" s="14"/>
      <c r="CI89" s="14"/>
      <c r="CJ89" s="14"/>
      <c r="CK89" s="14"/>
    </row>
    <row r="90" spans="2:89" ht="15" customHeight="1" x14ac:dyDescent="0.3">
      <c r="C90" s="2"/>
      <c r="D90" s="2"/>
      <c r="F90" s="2" t="s">
        <v>208</v>
      </c>
      <c r="G90" s="142"/>
      <c r="H90" s="142"/>
      <c r="I90" s="142"/>
      <c r="J90" s="142"/>
      <c r="K90" s="142"/>
      <c r="L90" s="142"/>
      <c r="M90" s="142"/>
      <c r="N90" s="142"/>
      <c r="O90" s="142"/>
      <c r="P90" s="142"/>
      <c r="Q90" s="142"/>
      <c r="R90" s="142"/>
      <c r="S90" s="143"/>
      <c r="T90" s="143"/>
      <c r="U90" s="142"/>
      <c r="V90" s="142"/>
      <c r="W90" s="142"/>
      <c r="X90" s="142"/>
      <c r="Y90" s="142"/>
      <c r="Z90" s="142"/>
      <c r="AA90" s="142"/>
      <c r="AB90" s="16"/>
      <c r="AC90" s="16"/>
      <c r="AE90" s="2" t="s">
        <v>207</v>
      </c>
      <c r="AF90" s="137"/>
      <c r="AG90" s="137"/>
      <c r="AH90" s="137"/>
      <c r="AI90" s="137"/>
      <c r="AJ90" s="137"/>
      <c r="AK90" s="6"/>
      <c r="AM90" s="17"/>
      <c r="AN90" s="17"/>
      <c r="AS90" s="14"/>
      <c r="AT90" s="77"/>
      <c r="AU90" s="78"/>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14"/>
      <c r="BW90" s="14"/>
      <c r="BX90" s="14"/>
      <c r="BY90" s="14"/>
      <c r="BZ90" s="14"/>
      <c r="CA90" s="14"/>
      <c r="CB90" s="14"/>
      <c r="CC90" s="14"/>
      <c r="CD90" s="14"/>
      <c r="CE90" s="14"/>
      <c r="CF90" s="14"/>
      <c r="CG90" s="14"/>
      <c r="CH90" s="14"/>
      <c r="CI90" s="14"/>
      <c r="CJ90" s="14"/>
      <c r="CK90" s="14"/>
    </row>
    <row r="91" spans="2:89" ht="15" customHeight="1" x14ac:dyDescent="0.3">
      <c r="B91" s="2"/>
      <c r="C91" s="2"/>
      <c r="D91" s="2"/>
      <c r="E91" s="2"/>
      <c r="F91" s="89"/>
      <c r="G91" s="89"/>
      <c r="H91" s="89"/>
      <c r="I91" s="89"/>
      <c r="J91" s="89"/>
      <c r="K91" s="89"/>
      <c r="L91" s="89"/>
      <c r="M91" s="89"/>
      <c r="N91" s="89"/>
      <c r="O91" s="89"/>
      <c r="P91" s="89"/>
      <c r="Q91" s="89"/>
      <c r="R91" s="89"/>
      <c r="S91" s="89"/>
      <c r="T91" s="89"/>
      <c r="U91" s="89"/>
      <c r="V91" s="89"/>
      <c r="Y91" s="6"/>
      <c r="Z91" s="6"/>
      <c r="AA91" s="6"/>
      <c r="AB91" s="6"/>
      <c r="AC91" s="6"/>
      <c r="AD91" s="6"/>
      <c r="AK91" s="6"/>
      <c r="AL91" s="6"/>
      <c r="AM91" s="17"/>
      <c r="AN91" s="17"/>
      <c r="AS91" s="14"/>
      <c r="AT91" s="77"/>
      <c r="AU91" s="78"/>
      <c r="AV91" s="77"/>
      <c r="AW91" s="77"/>
      <c r="AX91" s="77"/>
      <c r="AY91" s="77"/>
      <c r="AZ91" s="77"/>
      <c r="BA91" s="77"/>
      <c r="BB91" s="77"/>
      <c r="BC91" s="77"/>
      <c r="BD91" s="77"/>
      <c r="BE91" s="77"/>
      <c r="BF91" s="77"/>
      <c r="BG91" s="77"/>
      <c r="BH91" s="77"/>
      <c r="BI91" s="77"/>
      <c r="BJ91" s="77"/>
      <c r="BK91" s="77"/>
      <c r="BL91" s="77"/>
      <c r="BM91" s="77"/>
      <c r="BN91" s="77"/>
      <c r="BO91" s="77"/>
      <c r="BP91" s="77"/>
      <c r="BQ91" s="77"/>
      <c r="BR91" s="77"/>
      <c r="BS91" s="77"/>
      <c r="BT91" s="77"/>
      <c r="BU91" s="77"/>
      <c r="BV91" s="14"/>
      <c r="BW91" s="14"/>
      <c r="BX91" s="14"/>
      <c r="BY91" s="14"/>
      <c r="BZ91" s="14"/>
      <c r="CA91" s="14"/>
      <c r="CB91" s="14"/>
      <c r="CC91" s="14"/>
      <c r="CD91" s="14"/>
      <c r="CE91" s="14"/>
      <c r="CF91" s="14"/>
      <c r="CG91" s="14"/>
      <c r="CH91" s="14"/>
      <c r="CI91" s="14"/>
      <c r="CJ91" s="14"/>
      <c r="CK91" s="14"/>
    </row>
    <row r="92" spans="2:89" ht="15" customHeight="1" x14ac:dyDescent="0.3">
      <c r="B92" s="9" t="s">
        <v>283</v>
      </c>
      <c r="AS92" s="14"/>
      <c r="AT92" s="77"/>
      <c r="AU92" s="78"/>
      <c r="AV92" s="77"/>
      <c r="AW92" s="77"/>
      <c r="AX92" s="77"/>
      <c r="AY92" s="77"/>
      <c r="AZ92" s="77"/>
      <c r="BA92" s="77"/>
      <c r="BB92" s="77"/>
      <c r="BC92" s="77"/>
      <c r="BD92" s="77"/>
      <c r="BE92" s="77"/>
      <c r="BF92" s="77"/>
      <c r="BG92" s="77"/>
      <c r="BH92" s="77"/>
      <c r="BI92" s="77"/>
      <c r="BJ92" s="77"/>
      <c r="BK92" s="77"/>
      <c r="BL92" s="77"/>
      <c r="BM92" s="77"/>
      <c r="BN92" s="77"/>
      <c r="BO92" s="77"/>
      <c r="BP92" s="77"/>
      <c r="BQ92" s="77"/>
      <c r="BR92" s="77"/>
      <c r="BS92" s="77"/>
      <c r="BT92" s="77"/>
      <c r="BU92" s="77"/>
      <c r="BV92" s="14"/>
      <c r="BW92" s="14"/>
      <c r="BX92" s="14"/>
      <c r="BY92" s="14"/>
      <c r="BZ92" s="14"/>
      <c r="CA92" s="14"/>
      <c r="CB92" s="14"/>
      <c r="CC92" s="14"/>
      <c r="CD92" s="14"/>
      <c r="CE92" s="14"/>
      <c r="CF92" s="14"/>
      <c r="CG92" s="14"/>
      <c r="CH92" s="14"/>
      <c r="CI92" s="14"/>
      <c r="CJ92" s="14"/>
      <c r="CK92" s="14"/>
    </row>
    <row r="93" spans="2:89" ht="15" customHeight="1" x14ac:dyDescent="0.3">
      <c r="B93" s="128"/>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30"/>
      <c r="AM93" s="25">
        <f>IF(SUM(AO25,AO27,AO29)&gt;0,2,1)</f>
        <v>1</v>
      </c>
      <c r="AS93" s="14"/>
      <c r="AT93" s="77"/>
      <c r="AU93" s="78"/>
      <c r="AV93" s="77"/>
      <c r="AW93" s="77"/>
      <c r="AX93" s="77"/>
      <c r="AY93" s="77"/>
      <c r="AZ93" s="77"/>
      <c r="BA93" s="77"/>
      <c r="BB93" s="77"/>
      <c r="BC93" s="77"/>
      <c r="BD93" s="77"/>
      <c r="BE93" s="77"/>
      <c r="BF93" s="77"/>
      <c r="BG93" s="77"/>
      <c r="BH93" s="77"/>
      <c r="BI93" s="77"/>
      <c r="BJ93" s="77"/>
      <c r="BK93" s="77"/>
      <c r="BL93" s="77"/>
      <c r="BM93" s="77"/>
      <c r="BN93" s="77"/>
      <c r="BO93" s="77"/>
      <c r="BP93" s="77"/>
      <c r="BQ93" s="77"/>
      <c r="BR93" s="77"/>
      <c r="BS93" s="77"/>
      <c r="BT93" s="77"/>
      <c r="BU93" s="77"/>
      <c r="BV93" s="14"/>
      <c r="BW93" s="14"/>
      <c r="BX93" s="14"/>
      <c r="BY93" s="14"/>
      <c r="BZ93" s="14"/>
      <c r="CA93" s="14"/>
      <c r="CB93" s="14"/>
      <c r="CC93" s="14"/>
      <c r="CD93" s="14"/>
      <c r="CE93" s="14"/>
      <c r="CF93" s="14"/>
      <c r="CG93" s="14"/>
      <c r="CH93" s="14"/>
      <c r="CI93" s="14"/>
      <c r="CJ93" s="14"/>
      <c r="CK93" s="14"/>
    </row>
    <row r="94" spans="2:89" ht="15" customHeight="1" x14ac:dyDescent="0.3">
      <c r="B94" s="131"/>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3"/>
      <c r="AS94" s="14"/>
      <c r="AT94" s="77"/>
      <c r="AU94" s="78"/>
      <c r="AV94" s="77"/>
      <c r="AW94" s="77"/>
      <c r="AX94" s="77"/>
      <c r="AY94" s="77"/>
      <c r="AZ94" s="77"/>
      <c r="BA94" s="77"/>
      <c r="BB94" s="77"/>
      <c r="BC94" s="77"/>
      <c r="BD94" s="77"/>
      <c r="BE94" s="77"/>
      <c r="BF94" s="77"/>
      <c r="BG94" s="77"/>
      <c r="BH94" s="77"/>
      <c r="BI94" s="77"/>
      <c r="BJ94" s="77"/>
      <c r="BK94" s="77"/>
      <c r="BL94" s="77"/>
      <c r="BM94" s="77"/>
      <c r="BN94" s="77"/>
      <c r="BO94" s="77"/>
      <c r="BP94" s="77"/>
      <c r="BQ94" s="77"/>
      <c r="BR94" s="77"/>
      <c r="BS94" s="77"/>
      <c r="BT94" s="77"/>
      <c r="BU94" s="77"/>
      <c r="BV94" s="14"/>
      <c r="BW94" s="14"/>
      <c r="BX94" s="14"/>
      <c r="BY94" s="14"/>
      <c r="BZ94" s="14"/>
      <c r="CA94" s="14"/>
      <c r="CB94" s="14"/>
      <c r="CC94" s="14"/>
      <c r="CD94" s="14"/>
      <c r="CE94" s="14"/>
      <c r="CF94" s="14"/>
      <c r="CG94" s="14"/>
      <c r="CH94" s="14"/>
      <c r="CI94" s="14"/>
      <c r="CJ94" s="14"/>
      <c r="CK94" s="14"/>
    </row>
    <row r="95" spans="2:89" ht="15" customHeight="1" x14ac:dyDescent="0.3">
      <c r="B95" s="131"/>
      <c r="C95" s="132"/>
      <c r="D95" s="132"/>
      <c r="E95" s="132"/>
      <c r="F95" s="132"/>
      <c r="G95" s="132"/>
      <c r="H95" s="132"/>
      <c r="I95" s="132"/>
      <c r="J95" s="132"/>
      <c r="K95" s="132"/>
      <c r="L95" s="132"/>
      <c r="M95" s="132"/>
      <c r="N95" s="132"/>
      <c r="O95" s="132"/>
      <c r="P95" s="132"/>
      <c r="Q95" s="132"/>
      <c r="R95" s="132"/>
      <c r="S95" s="132"/>
      <c r="T95" s="132"/>
      <c r="U95" s="132"/>
      <c r="V95" s="132"/>
      <c r="W95" s="132"/>
      <c r="X95" s="132"/>
      <c r="Y95" s="132"/>
      <c r="Z95" s="132"/>
      <c r="AA95" s="132"/>
      <c r="AB95" s="132"/>
      <c r="AC95" s="132"/>
      <c r="AD95" s="132"/>
      <c r="AE95" s="132"/>
      <c r="AF95" s="132"/>
      <c r="AG95" s="132"/>
      <c r="AH95" s="132"/>
      <c r="AI95" s="132"/>
      <c r="AJ95" s="133"/>
      <c r="AS95" s="14"/>
      <c r="AT95" s="77"/>
      <c r="AU95" s="78"/>
      <c r="AV95" s="77"/>
      <c r="AW95" s="77"/>
      <c r="AX95" s="77"/>
      <c r="AY95" s="77"/>
      <c r="AZ95" s="77"/>
      <c r="BA95" s="77"/>
      <c r="BB95" s="77"/>
      <c r="BC95" s="77"/>
      <c r="BD95" s="77"/>
      <c r="BE95" s="77"/>
      <c r="BF95" s="77"/>
      <c r="BG95" s="77"/>
      <c r="BH95" s="77"/>
      <c r="BI95" s="77"/>
      <c r="BJ95" s="77"/>
      <c r="BK95" s="77"/>
      <c r="BL95" s="77"/>
      <c r="BM95" s="77"/>
      <c r="BN95" s="77"/>
      <c r="BO95" s="77"/>
      <c r="BP95" s="77"/>
      <c r="BQ95" s="77"/>
      <c r="BR95" s="77"/>
      <c r="BS95" s="77"/>
      <c r="BT95" s="77"/>
      <c r="BU95" s="77"/>
      <c r="BV95" s="14"/>
      <c r="BW95" s="14"/>
      <c r="BX95" s="14"/>
      <c r="BY95" s="14"/>
      <c r="BZ95" s="14"/>
      <c r="CA95" s="14"/>
      <c r="CB95" s="14"/>
      <c r="CC95" s="14"/>
      <c r="CD95" s="14"/>
      <c r="CE95" s="14"/>
      <c r="CF95" s="14"/>
      <c r="CG95" s="14"/>
      <c r="CH95" s="14"/>
      <c r="CI95" s="14"/>
      <c r="CJ95" s="14"/>
      <c r="CK95" s="14"/>
    </row>
    <row r="96" spans="2:89" ht="15" customHeight="1" x14ac:dyDescent="0.3">
      <c r="B96" s="134"/>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6"/>
      <c r="AS96" s="14"/>
      <c r="AT96" s="77"/>
      <c r="AU96" s="78"/>
      <c r="AV96" s="77"/>
      <c r="AW96" s="77"/>
      <c r="AX96" s="77"/>
      <c r="AY96" s="77"/>
      <c r="AZ96" s="77"/>
      <c r="BA96" s="77"/>
      <c r="BB96" s="77"/>
      <c r="BC96" s="77"/>
      <c r="BD96" s="77"/>
      <c r="BE96" s="77"/>
      <c r="BF96" s="77"/>
      <c r="BG96" s="77"/>
      <c r="BH96" s="77"/>
      <c r="BI96" s="77"/>
      <c r="BJ96" s="77"/>
      <c r="BK96" s="77"/>
      <c r="BL96" s="77"/>
      <c r="BM96" s="77"/>
      <c r="BN96" s="77"/>
      <c r="BO96" s="77"/>
      <c r="BP96" s="77"/>
      <c r="BQ96" s="77"/>
      <c r="BR96" s="77"/>
      <c r="BS96" s="77"/>
      <c r="BT96" s="77"/>
      <c r="BU96" s="77"/>
      <c r="BV96" s="14"/>
      <c r="BW96" s="14"/>
      <c r="BX96" s="14"/>
      <c r="BY96" s="14"/>
      <c r="BZ96" s="14"/>
      <c r="CA96" s="14"/>
      <c r="CB96" s="14"/>
      <c r="CC96" s="14"/>
      <c r="CD96" s="14"/>
      <c r="CE96" s="14"/>
      <c r="CF96" s="14"/>
      <c r="CG96" s="14"/>
      <c r="CH96" s="14"/>
      <c r="CI96" s="14"/>
      <c r="CJ96" s="14"/>
      <c r="CK96" s="14"/>
    </row>
    <row r="97" spans="2:89" ht="15" customHeight="1" x14ac:dyDescent="0.3">
      <c r="B97" s="9"/>
      <c r="AS97" s="14"/>
      <c r="AT97" s="77"/>
      <c r="AU97" s="78"/>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77"/>
      <c r="BU97" s="77"/>
      <c r="BV97" s="14"/>
      <c r="BW97" s="14"/>
      <c r="BX97" s="14"/>
      <c r="BY97" s="14"/>
      <c r="BZ97" s="14"/>
      <c r="CA97" s="14"/>
      <c r="CB97" s="14"/>
      <c r="CC97" s="14"/>
      <c r="CD97" s="14"/>
      <c r="CE97" s="14"/>
      <c r="CF97" s="14"/>
      <c r="CG97" s="14"/>
      <c r="CH97" s="14"/>
      <c r="CI97" s="14"/>
      <c r="CJ97" s="14"/>
      <c r="CK97" s="14"/>
    </row>
    <row r="98" spans="2:89" ht="15" customHeight="1" x14ac:dyDescent="0.3">
      <c r="B98" s="1" t="s">
        <v>214</v>
      </c>
      <c r="C98" s="1"/>
      <c r="D98" s="1"/>
      <c r="AS98" s="14"/>
      <c r="AT98" s="14"/>
      <c r="AU98" s="70"/>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row>
    <row r="99" spans="2:89" ht="4.95" customHeight="1" x14ac:dyDescent="0.3">
      <c r="B99" s="1"/>
      <c r="C99" s="1"/>
      <c r="D99" s="1"/>
      <c r="AS99" s="14"/>
      <c r="AT99" s="14"/>
      <c r="AU99" s="70"/>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row>
    <row r="100" spans="2:89" ht="15" customHeight="1" x14ac:dyDescent="0.3">
      <c r="B100" s="76" t="s">
        <v>241</v>
      </c>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S100" s="14"/>
      <c r="AT100" s="14"/>
      <c r="AU100" s="70"/>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row>
    <row r="101" spans="2:89" ht="15" customHeight="1" x14ac:dyDescent="0.3">
      <c r="B101" s="76" t="s">
        <v>282</v>
      </c>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S101" s="14"/>
      <c r="AT101" s="14"/>
      <c r="AU101" s="70"/>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row>
    <row r="102" spans="2:89" ht="15" customHeight="1" x14ac:dyDescent="0.3">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S102" s="14"/>
      <c r="AT102" s="14"/>
      <c r="AU102" s="70"/>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row>
    <row r="103" spans="2:89" ht="15" customHeight="1" x14ac:dyDescent="0.3">
      <c r="D103" s="2" t="s">
        <v>213</v>
      </c>
      <c r="E103" s="112"/>
      <c r="F103" s="112"/>
      <c r="G103" s="112"/>
      <c r="H103" s="112"/>
      <c r="I103" s="112"/>
      <c r="J103" s="112"/>
      <c r="K103" s="112"/>
      <c r="L103" s="112"/>
      <c r="M103" s="112"/>
      <c r="N103" s="112"/>
      <c r="O103" s="112"/>
      <c r="P103" s="112"/>
      <c r="Q103" s="112"/>
      <c r="R103" s="112"/>
      <c r="S103" s="112"/>
      <c r="T103" s="112"/>
      <c r="U103" s="112"/>
      <c r="V103" s="112"/>
      <c r="W103" s="112"/>
      <c r="X103" s="112"/>
      <c r="Y103" s="112"/>
      <c r="AB103" s="2" t="s">
        <v>212</v>
      </c>
      <c r="AC103" s="2"/>
      <c r="AD103" s="2"/>
      <c r="AE103" s="2"/>
      <c r="AS103" s="14"/>
      <c r="AT103" s="14"/>
      <c r="AU103" s="70"/>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row>
    <row r="104" spans="2:89" ht="15" customHeight="1" x14ac:dyDescent="0.3">
      <c r="D104" s="2" t="s">
        <v>30</v>
      </c>
      <c r="E104" s="114"/>
      <c r="F104" s="114"/>
      <c r="G104" s="114"/>
      <c r="H104" s="114"/>
      <c r="I104" s="114"/>
      <c r="J104" s="114"/>
      <c r="K104" s="114"/>
      <c r="L104" s="114"/>
      <c r="M104" s="114"/>
      <c r="N104" s="114"/>
      <c r="O104" s="114"/>
      <c r="P104" s="114"/>
      <c r="Q104" s="114"/>
      <c r="R104" s="114"/>
      <c r="S104" s="114"/>
      <c r="T104" s="114"/>
      <c r="U104" s="114"/>
      <c r="V104" s="114"/>
      <c r="W104" s="114"/>
      <c r="X104" s="114"/>
      <c r="Y104" s="114"/>
      <c r="AS104" s="14"/>
      <c r="AT104" s="14"/>
      <c r="AU104" s="70"/>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row>
    <row r="105" spans="2:89" ht="15" customHeight="1" x14ac:dyDescent="0.3">
      <c r="D105" s="2" t="s">
        <v>31</v>
      </c>
      <c r="E105" s="114"/>
      <c r="F105" s="114"/>
      <c r="G105" s="114"/>
      <c r="H105" s="114"/>
      <c r="I105" s="114"/>
      <c r="J105" s="114"/>
      <c r="K105" s="114"/>
      <c r="L105" s="114"/>
      <c r="M105" s="114"/>
      <c r="N105" s="114"/>
      <c r="O105" s="114"/>
      <c r="P105" s="114"/>
      <c r="Q105" s="114"/>
      <c r="R105" s="114"/>
      <c r="S105" s="114"/>
      <c r="T105" s="114"/>
      <c r="U105" s="114"/>
      <c r="V105" s="114"/>
      <c r="W105" s="114"/>
      <c r="X105" s="114"/>
      <c r="Y105" s="114"/>
      <c r="AS105" s="14"/>
      <c r="AT105" s="14"/>
      <c r="AU105" s="70"/>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row>
    <row r="106" spans="2:89" ht="15" customHeight="1" x14ac:dyDescent="0.3">
      <c r="D106" s="2" t="s">
        <v>211</v>
      </c>
      <c r="E106" s="114"/>
      <c r="F106" s="114"/>
      <c r="G106" s="114"/>
      <c r="H106" s="114"/>
      <c r="I106" s="114"/>
      <c r="J106" s="114"/>
      <c r="K106" s="114"/>
      <c r="L106" s="73"/>
      <c r="M106" s="73"/>
      <c r="N106" s="75" t="s">
        <v>210</v>
      </c>
      <c r="O106" s="114"/>
      <c r="P106" s="114"/>
      <c r="Q106" s="114"/>
      <c r="R106" s="114"/>
      <c r="S106" s="73"/>
      <c r="T106" s="73"/>
      <c r="U106" s="73"/>
      <c r="V106" s="75" t="s">
        <v>209</v>
      </c>
      <c r="W106" s="115"/>
      <c r="X106" s="115"/>
      <c r="Y106" s="115"/>
      <c r="AS106" s="14"/>
      <c r="AT106" s="14"/>
      <c r="AU106" s="70"/>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row>
    <row r="107" spans="2:89" ht="15" customHeight="1" x14ac:dyDescent="0.3">
      <c r="C107" s="74"/>
      <c r="D107" s="2" t="s">
        <v>208</v>
      </c>
      <c r="E107" s="141"/>
      <c r="F107" s="141"/>
      <c r="G107" s="141"/>
      <c r="H107" s="141"/>
      <c r="I107" s="141"/>
      <c r="J107" s="141"/>
      <c r="K107" s="141"/>
      <c r="L107" s="141"/>
      <c r="M107" s="141"/>
      <c r="N107" s="141"/>
      <c r="O107" s="141"/>
      <c r="P107" s="141"/>
      <c r="Q107" s="141"/>
      <c r="R107" s="141"/>
      <c r="S107" s="141"/>
      <c r="T107" s="141"/>
      <c r="U107" s="141"/>
      <c r="V107" s="141"/>
      <c r="W107" s="141"/>
      <c r="X107" s="141"/>
      <c r="Y107" s="141"/>
      <c r="AS107" s="14"/>
      <c r="AT107" s="14"/>
      <c r="AU107" s="70"/>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row>
    <row r="108" spans="2:89" ht="15" customHeight="1" x14ac:dyDescent="0.3">
      <c r="D108" s="2" t="s">
        <v>207</v>
      </c>
      <c r="E108" s="138"/>
      <c r="F108" s="138"/>
      <c r="G108" s="138"/>
      <c r="H108" s="138"/>
      <c r="I108" s="138"/>
      <c r="U108" s="71"/>
      <c r="V108" s="71"/>
      <c r="W108" s="71"/>
      <c r="AS108" s="14"/>
      <c r="AT108" s="14"/>
      <c r="AU108" s="70"/>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row>
    <row r="109" spans="2:89" ht="15" customHeight="1" x14ac:dyDescent="0.3">
      <c r="D109" s="2"/>
      <c r="E109" s="73"/>
      <c r="F109" s="73"/>
      <c r="G109" s="73"/>
      <c r="H109" s="73"/>
      <c r="I109" s="73"/>
      <c r="U109" s="71"/>
      <c r="V109" s="71"/>
      <c r="W109" s="71"/>
      <c r="AS109" s="14"/>
      <c r="AT109" s="14"/>
      <c r="AU109" s="70"/>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row>
    <row r="110" spans="2:89" ht="15" customHeight="1" x14ac:dyDescent="0.3">
      <c r="D110" s="2" t="s">
        <v>206</v>
      </c>
      <c r="E110" s="72"/>
      <c r="F110" s="72"/>
      <c r="G110" s="72"/>
      <c r="H110" s="72"/>
      <c r="I110" s="72"/>
      <c r="J110" s="72"/>
      <c r="K110" s="72"/>
      <c r="L110" s="72"/>
      <c r="M110" s="72"/>
      <c r="N110" s="72"/>
      <c r="O110" s="72"/>
      <c r="P110" s="72"/>
      <c r="Q110" s="72"/>
      <c r="R110" s="72"/>
      <c r="S110" s="72"/>
      <c r="T110" s="72"/>
      <c r="U110" s="71"/>
      <c r="V110" s="71"/>
      <c r="W110" s="71"/>
      <c r="AB110" s="2" t="s">
        <v>39</v>
      </c>
      <c r="AC110" s="113"/>
      <c r="AD110" s="113"/>
      <c r="AE110" s="113"/>
      <c r="AF110" s="113"/>
      <c r="AG110" s="113"/>
      <c r="AS110" s="14"/>
      <c r="AT110" s="14"/>
      <c r="AU110" s="70"/>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row>
    <row r="111" spans="2:89" ht="15" customHeight="1" x14ac:dyDescent="0.3">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row>
    <row r="112" spans="2:89" ht="15" customHeight="1" x14ac:dyDescent="0.3">
      <c r="B112" s="139">
        <f>Tables!F13</f>
        <v>46266</v>
      </c>
      <c r="C112" s="139"/>
      <c r="D112" s="139"/>
      <c r="E112" s="139"/>
      <c r="F112" s="139"/>
      <c r="G112" s="139"/>
      <c r="H112" s="139"/>
      <c r="R112" s="140" t="s">
        <v>205</v>
      </c>
      <c r="S112" s="140"/>
      <c r="T112" s="140"/>
      <c r="U112" s="140"/>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row>
    <row r="113" spans="45:89" ht="15" customHeight="1" x14ac:dyDescent="0.3">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row>
    <row r="114" spans="45:89" ht="15" customHeight="1" x14ac:dyDescent="0.3">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row>
    <row r="115" spans="45:89" ht="15" customHeight="1" x14ac:dyDescent="0.3">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row>
  </sheetData>
  <sheetProtection algorithmName="SHA-512" hashValue="fGLqnYyB/qNAqxO0btJv0XRhx/kzL5YPp9x3RQOph/tzEmx6rpk/ep4KMR+9iyYolwvWwZKBYectOfDPyczUeg==" saltValue="1u7/Mlpbvaca54c5Oomryw==" spinCount="100000" sheet="1" objects="1" scenarios="1" selectLockedCells="1"/>
  <mergeCells count="289">
    <mergeCell ref="AH34:AI34"/>
    <mergeCell ref="AE48:AG48"/>
    <mergeCell ref="AH48:AI48"/>
    <mergeCell ref="AE50:AG50"/>
    <mergeCell ref="AH50:AI50"/>
    <mergeCell ref="AE56:AG56"/>
    <mergeCell ref="AH56:AI56"/>
    <mergeCell ref="AE42:AG42"/>
    <mergeCell ref="AH42:AI42"/>
    <mergeCell ref="AE44:AG44"/>
    <mergeCell ref="AH44:AI44"/>
    <mergeCell ref="AE46:AG46"/>
    <mergeCell ref="AH46:AI46"/>
    <mergeCell ref="AH54:AI54"/>
    <mergeCell ref="AE54:AG54"/>
    <mergeCell ref="AE36:AG36"/>
    <mergeCell ref="AH36:AI36"/>
    <mergeCell ref="AE38:AG38"/>
    <mergeCell ref="Z56:AB56"/>
    <mergeCell ref="AC56:AD56"/>
    <mergeCell ref="S54:T54"/>
    <mergeCell ref="U54:W54"/>
    <mergeCell ref="AC82:AD82"/>
    <mergeCell ref="AE82:AG82"/>
    <mergeCell ref="B62:H62"/>
    <mergeCell ref="R62:U62"/>
    <mergeCell ref="AE33:AG33"/>
    <mergeCell ref="AE34:AG34"/>
    <mergeCell ref="K82:M82"/>
    <mergeCell ref="N82:O82"/>
    <mergeCell ref="P82:R82"/>
    <mergeCell ref="S82:T82"/>
    <mergeCell ref="U82:W82"/>
    <mergeCell ref="X82:Y82"/>
    <mergeCell ref="X75:Y75"/>
    <mergeCell ref="C73:F73"/>
    <mergeCell ref="H73:I73"/>
    <mergeCell ref="K73:M73"/>
    <mergeCell ref="N73:O73"/>
    <mergeCell ref="P80:R80"/>
    <mergeCell ref="U80:W80"/>
    <mergeCell ref="C77:F77"/>
    <mergeCell ref="U89:AA89"/>
    <mergeCell ref="G89:R89"/>
    <mergeCell ref="Z82:AB82"/>
    <mergeCell ref="AH82:AI82"/>
    <mergeCell ref="P83:R83"/>
    <mergeCell ref="U83:W83"/>
    <mergeCell ref="Z83:AB83"/>
    <mergeCell ref="AE83:AG83"/>
    <mergeCell ref="AH38:AI38"/>
    <mergeCell ref="AE40:AG40"/>
    <mergeCell ref="AH40:AI40"/>
    <mergeCell ref="Z79:AB79"/>
    <mergeCell ref="P73:R73"/>
    <mergeCell ref="S73:T73"/>
    <mergeCell ref="U73:W73"/>
    <mergeCell ref="X73:Y73"/>
    <mergeCell ref="Z75:AB75"/>
    <mergeCell ref="S69:T69"/>
    <mergeCell ref="U69:W69"/>
    <mergeCell ref="AC79:AD79"/>
    <mergeCell ref="AE63:AJ63"/>
    <mergeCell ref="S77:T77"/>
    <mergeCell ref="U77:W77"/>
    <mergeCell ref="X77:Y77"/>
    <mergeCell ref="B93:AJ96"/>
    <mergeCell ref="E103:Y103"/>
    <mergeCell ref="AF90:AJ90"/>
    <mergeCell ref="E108:I108"/>
    <mergeCell ref="AC110:AG110"/>
    <mergeCell ref="B112:H112"/>
    <mergeCell ref="R112:U112"/>
    <mergeCell ref="E104:Y104"/>
    <mergeCell ref="E105:Y105"/>
    <mergeCell ref="E106:K106"/>
    <mergeCell ref="O106:R106"/>
    <mergeCell ref="W106:Y106"/>
    <mergeCell ref="E107:Y107"/>
    <mergeCell ref="G90:AA90"/>
    <mergeCell ref="C75:F75"/>
    <mergeCell ref="K79:M79"/>
    <mergeCell ref="N79:O79"/>
    <mergeCell ref="P79:R79"/>
    <mergeCell ref="S79:T79"/>
    <mergeCell ref="U79:W79"/>
    <mergeCell ref="H77:I77"/>
    <mergeCell ref="K77:M77"/>
    <mergeCell ref="N77:O77"/>
    <mergeCell ref="P77:R77"/>
    <mergeCell ref="H75:I75"/>
    <mergeCell ref="K75:M75"/>
    <mergeCell ref="N75:O75"/>
    <mergeCell ref="P75:R75"/>
    <mergeCell ref="S75:T75"/>
    <mergeCell ref="U75:W75"/>
    <mergeCell ref="AH69:AI69"/>
    <mergeCell ref="X79:Y79"/>
    <mergeCell ref="AH71:AI71"/>
    <mergeCell ref="AH73:AI73"/>
    <mergeCell ref="X69:Y69"/>
    <mergeCell ref="AH75:AI75"/>
    <mergeCell ref="AH77:AI77"/>
    <mergeCell ref="AH79:AI79"/>
    <mergeCell ref="AC69:AD69"/>
    <mergeCell ref="AC71:AD71"/>
    <mergeCell ref="AE69:AG69"/>
    <mergeCell ref="AE71:AG71"/>
    <mergeCell ref="AE73:AG73"/>
    <mergeCell ref="Z69:AB69"/>
    <mergeCell ref="Z71:AB71"/>
    <mergeCell ref="H69:I69"/>
    <mergeCell ref="K69:M69"/>
    <mergeCell ref="Z77:AB77"/>
    <mergeCell ref="Z54:AB54"/>
    <mergeCell ref="AC54:AD54"/>
    <mergeCell ref="C50:F50"/>
    <mergeCell ref="H50:I50"/>
    <mergeCell ref="K50:M50"/>
    <mergeCell ref="N50:O50"/>
    <mergeCell ref="P50:R50"/>
    <mergeCell ref="S50:T50"/>
    <mergeCell ref="U50:W50"/>
    <mergeCell ref="X50:Y50"/>
    <mergeCell ref="B67:F68"/>
    <mergeCell ref="H67:I67"/>
    <mergeCell ref="U68:X68"/>
    <mergeCell ref="H68:I68"/>
    <mergeCell ref="K68:M68"/>
    <mergeCell ref="P68:R68"/>
    <mergeCell ref="C52:F52"/>
    <mergeCell ref="H52:I52"/>
    <mergeCell ref="K52:M52"/>
    <mergeCell ref="N52:O52"/>
    <mergeCell ref="C54:F54"/>
    <mergeCell ref="H54:I54"/>
    <mergeCell ref="K54:M54"/>
    <mergeCell ref="N54:O54"/>
    <mergeCell ref="P57:R57"/>
    <mergeCell ref="U57:W57"/>
    <mergeCell ref="X54:Y54"/>
    <mergeCell ref="D63:Y63"/>
    <mergeCell ref="U56:W56"/>
    <mergeCell ref="X56:Y56"/>
    <mergeCell ref="S56:T56"/>
    <mergeCell ref="C46:F46"/>
    <mergeCell ref="H46:I46"/>
    <mergeCell ref="K46:M46"/>
    <mergeCell ref="N46:O46"/>
    <mergeCell ref="P46:R46"/>
    <mergeCell ref="S46:T46"/>
    <mergeCell ref="U46:W46"/>
    <mergeCell ref="X46:Y46"/>
    <mergeCell ref="Z46:AB46"/>
    <mergeCell ref="C48:F48"/>
    <mergeCell ref="H48:I48"/>
    <mergeCell ref="K48:M48"/>
    <mergeCell ref="N48:O48"/>
    <mergeCell ref="P48:R48"/>
    <mergeCell ref="S48:T48"/>
    <mergeCell ref="U48:W48"/>
    <mergeCell ref="X48:Y48"/>
    <mergeCell ref="Z48:AB48"/>
    <mergeCell ref="K40:M40"/>
    <mergeCell ref="N40:O40"/>
    <mergeCell ref="P40:R40"/>
    <mergeCell ref="S40:T40"/>
    <mergeCell ref="U40:W40"/>
    <mergeCell ref="X40:Y40"/>
    <mergeCell ref="Z40:AB40"/>
    <mergeCell ref="AC40:AD40"/>
    <mergeCell ref="H44:I44"/>
    <mergeCell ref="K44:M44"/>
    <mergeCell ref="N44:O44"/>
    <mergeCell ref="P44:R44"/>
    <mergeCell ref="S44:T44"/>
    <mergeCell ref="U44:W44"/>
    <mergeCell ref="X44:Y44"/>
    <mergeCell ref="H42:I42"/>
    <mergeCell ref="K42:M42"/>
    <mergeCell ref="N42:O42"/>
    <mergeCell ref="P42:R42"/>
    <mergeCell ref="S42:T42"/>
    <mergeCell ref="U42:W42"/>
    <mergeCell ref="H40:I40"/>
    <mergeCell ref="AC36:AD36"/>
    <mergeCell ref="H38:I38"/>
    <mergeCell ref="K38:M38"/>
    <mergeCell ref="N38:O38"/>
    <mergeCell ref="P38:R38"/>
    <mergeCell ref="S38:T38"/>
    <mergeCell ref="U38:W38"/>
    <mergeCell ref="X38:Y38"/>
    <mergeCell ref="Z38:AB38"/>
    <mergeCell ref="AC38:AD38"/>
    <mergeCell ref="H36:I36"/>
    <mergeCell ref="K36:M36"/>
    <mergeCell ref="N36:O36"/>
    <mergeCell ref="P36:R36"/>
    <mergeCell ref="S36:T36"/>
    <mergeCell ref="U36:W36"/>
    <mergeCell ref="X36:Y36"/>
    <mergeCell ref="Z36:AB36"/>
    <mergeCell ref="B32:F33"/>
    <mergeCell ref="H32:I32"/>
    <mergeCell ref="H33:I33"/>
    <mergeCell ref="K33:M33"/>
    <mergeCell ref="P33:R33"/>
    <mergeCell ref="Z33:AB33"/>
    <mergeCell ref="H34:I34"/>
    <mergeCell ref="K34:M34"/>
    <mergeCell ref="N34:O34"/>
    <mergeCell ref="P34:R34"/>
    <mergeCell ref="S34:T34"/>
    <mergeCell ref="U34:W34"/>
    <mergeCell ref="X34:Y34"/>
    <mergeCell ref="Z34:AB34"/>
    <mergeCell ref="P69:R69"/>
    <mergeCell ref="AE7:AJ7"/>
    <mergeCell ref="K67:S67"/>
    <mergeCell ref="K32:S32"/>
    <mergeCell ref="Z32:AH32"/>
    <mergeCell ref="Z67:AH67"/>
    <mergeCell ref="U33:X33"/>
    <mergeCell ref="U67:X67"/>
    <mergeCell ref="AJ27:AJ33"/>
    <mergeCell ref="AE8:AJ8"/>
    <mergeCell ref="AE9:AJ9"/>
    <mergeCell ref="AC34:AD34"/>
    <mergeCell ref="X42:Y42"/>
    <mergeCell ref="Z42:AB42"/>
    <mergeCell ref="AC42:AD42"/>
    <mergeCell ref="Z44:AB44"/>
    <mergeCell ref="AC44:AD44"/>
    <mergeCell ref="AC46:AD46"/>
    <mergeCell ref="AC48:AD48"/>
    <mergeCell ref="Z50:AB50"/>
    <mergeCell ref="AC50:AD50"/>
    <mergeCell ref="K56:M56"/>
    <mergeCell ref="N56:O56"/>
    <mergeCell ref="P56:R56"/>
    <mergeCell ref="E7:Y7"/>
    <mergeCell ref="AE57:AG57"/>
    <mergeCell ref="G88:M88"/>
    <mergeCell ref="Q88:T88"/>
    <mergeCell ref="Y88:AA88"/>
    <mergeCell ref="G86:AA86"/>
    <mergeCell ref="G87:AA87"/>
    <mergeCell ref="AE75:AG75"/>
    <mergeCell ref="AE77:AG77"/>
    <mergeCell ref="AE79:AG79"/>
    <mergeCell ref="AE80:AG80"/>
    <mergeCell ref="AC73:AD73"/>
    <mergeCell ref="AC75:AD75"/>
    <mergeCell ref="AC77:AD77"/>
    <mergeCell ref="Z73:AB73"/>
    <mergeCell ref="H71:I71"/>
    <mergeCell ref="K71:M71"/>
    <mergeCell ref="N71:O71"/>
    <mergeCell ref="P71:R71"/>
    <mergeCell ref="S71:T71"/>
    <mergeCell ref="U71:W71"/>
    <mergeCell ref="X71:Y71"/>
    <mergeCell ref="Z80:AB80"/>
    <mergeCell ref="N69:O69"/>
    <mergeCell ref="AC5:AJ5"/>
    <mergeCell ref="BF1:BZ4"/>
    <mergeCell ref="R11:W11"/>
    <mergeCell ref="R13:W13"/>
    <mergeCell ref="R15:W15"/>
    <mergeCell ref="R17:W17"/>
    <mergeCell ref="R19:W19"/>
    <mergeCell ref="AJ64:AJ68"/>
    <mergeCell ref="P52:R52"/>
    <mergeCell ref="S52:T52"/>
    <mergeCell ref="U52:W52"/>
    <mergeCell ref="X52:Y52"/>
    <mergeCell ref="Z52:AB52"/>
    <mergeCell ref="AC52:AD52"/>
    <mergeCell ref="AE52:AG52"/>
    <mergeCell ref="AH52:AI52"/>
    <mergeCell ref="P54:R54"/>
    <mergeCell ref="Z68:AB68"/>
    <mergeCell ref="Z57:AB57"/>
    <mergeCell ref="AE68:AG68"/>
    <mergeCell ref="Q1:AK4"/>
    <mergeCell ref="AS5:BG6"/>
    <mergeCell ref="E6:Y6"/>
    <mergeCell ref="AE6:AJ6"/>
  </mergeCells>
  <conditionalFormatting sqref="B93:AJ96">
    <cfRule type="expression" dxfId="148" priority="195">
      <formula>$AM$93=2</formula>
    </cfRule>
    <cfRule type="cellIs" priority="194" stopIfTrue="1" operator="greaterThan">
      <formula>0</formula>
    </cfRule>
  </conditionalFormatting>
  <conditionalFormatting sqref="D11 D13 D15 D17 D19">
    <cfRule type="expression" dxfId="147" priority="224">
      <formula>$AR$7&gt;1</formula>
    </cfRule>
    <cfRule type="expression" priority="225" stopIfTrue="1">
      <formula>$AM$11=2</formula>
    </cfRule>
    <cfRule type="expression" dxfId="146" priority="226">
      <formula>$AM$11=1</formula>
    </cfRule>
  </conditionalFormatting>
  <conditionalFormatting sqref="D25">
    <cfRule type="expression" dxfId="145" priority="197">
      <formula>$AM$25=1</formula>
    </cfRule>
    <cfRule type="expression" dxfId="144" priority="198">
      <formula>$AN$25=2</formula>
    </cfRule>
    <cfRule type="expression" dxfId="143" priority="196">
      <formula>$AP$25=3</formula>
    </cfRule>
  </conditionalFormatting>
  <conditionalFormatting sqref="D27">
    <cfRule type="expression" dxfId="142" priority="199">
      <formula>$AP$27=3</formula>
    </cfRule>
    <cfRule type="expression" dxfId="141" priority="200">
      <formula>$AM$27=1</formula>
    </cfRule>
    <cfRule type="expression" dxfId="140" priority="201">
      <formula>$AN$27=2</formula>
    </cfRule>
  </conditionalFormatting>
  <conditionalFormatting sqref="D29">
    <cfRule type="expression" dxfId="139" priority="202">
      <formula>$AP$29=3</formula>
    </cfRule>
    <cfRule type="expression" dxfId="138" priority="203">
      <formula>$AM$29=1</formula>
    </cfRule>
    <cfRule type="expression" dxfId="137" priority="204">
      <formula>$AN$29=2</formula>
    </cfRule>
  </conditionalFormatting>
  <conditionalFormatting sqref="D63">
    <cfRule type="cellIs" dxfId="136" priority="186" operator="equal">
      <formula>0</formula>
    </cfRule>
  </conditionalFormatting>
  <conditionalFormatting sqref="E106:E108">
    <cfRule type="expression" dxfId="135" priority="187">
      <formula>ISBLANK(E106)</formula>
    </cfRule>
  </conditionalFormatting>
  <conditionalFormatting sqref="E6:Y7">
    <cfRule type="expression" dxfId="134" priority="177">
      <formula>ISBLANK(E6)</formula>
    </cfRule>
  </conditionalFormatting>
  <conditionalFormatting sqref="E105:Y105">
    <cfRule type="expression" dxfId="133" priority="190">
      <formula>ISBLANK(E105)</formula>
    </cfRule>
  </conditionalFormatting>
  <conditionalFormatting sqref="G25">
    <cfRule type="expression" dxfId="132" priority="205">
      <formula>$AM$25=1</formula>
    </cfRule>
    <cfRule type="expression" dxfId="131" priority="206">
      <formula>$AP$25=3</formula>
    </cfRule>
  </conditionalFormatting>
  <conditionalFormatting sqref="G27">
    <cfRule type="expression" dxfId="130" priority="207">
      <formula>$AM$27=1</formula>
    </cfRule>
    <cfRule type="expression" dxfId="129" priority="208">
      <formula>$AP$27=3</formula>
    </cfRule>
  </conditionalFormatting>
  <conditionalFormatting sqref="G29">
    <cfRule type="expression" dxfId="128" priority="209">
      <formula>$AM$29=1</formula>
    </cfRule>
    <cfRule type="expression" dxfId="127" priority="210">
      <formula>$AP$29=3</formula>
    </cfRule>
  </conditionalFormatting>
  <conditionalFormatting sqref="G86:G90">
    <cfRule type="expression" dxfId="126" priority="3">
      <formula>ISBLANK(G86)</formula>
    </cfRule>
  </conditionalFormatting>
  <conditionalFormatting sqref="I21 L21">
    <cfRule type="expression" dxfId="125" priority="1934">
      <formula>$AM$21=0</formula>
    </cfRule>
    <cfRule type="expression" dxfId="124" priority="1933">
      <formula>$AP$21=3</formula>
    </cfRule>
  </conditionalFormatting>
  <conditionalFormatting sqref="K34 P34 U34 K36 P36 U36 Z36 K38 P38 U38 Z38 K40 P40 U40 Z40 K42 P42 U42 Z42 K44 P44 U44 Z44 K46 P46 U46 Z46 K48 P48 U48 Z48 K69 P69 U69 K71 P71 U71 Z71 K73 P73 U73 Z73 K75 P75 U75 Z75 K77 P77 U77 Z77 K50 P50 Y4428">
    <cfRule type="expression" dxfId="123" priority="1987">
      <formula>$AQ$21=1</formula>
    </cfRule>
  </conditionalFormatting>
  <conditionalFormatting sqref="K52 P52">
    <cfRule type="expression" dxfId="122" priority="31">
      <formula>$AQ$21=1</formula>
    </cfRule>
  </conditionalFormatting>
  <conditionalFormatting sqref="K54 P54">
    <cfRule type="expression" dxfId="121" priority="16">
      <formula>$AQ$21=1</formula>
    </cfRule>
  </conditionalFormatting>
  <conditionalFormatting sqref="K56:M56 K79:M79 K82:M82">
    <cfRule type="cellIs" priority="2048" stopIfTrue="1" operator="greaterThan">
      <formula>0</formula>
    </cfRule>
    <cfRule type="expression" dxfId="120" priority="2047">
      <formula>$AO$21=2</formula>
    </cfRule>
    <cfRule type="expression" dxfId="119" priority="2046">
      <formula>$AN$21=1</formula>
    </cfRule>
    <cfRule type="cellIs" dxfId="118" priority="2049" operator="equal">
      <formula>0</formula>
    </cfRule>
  </conditionalFormatting>
  <conditionalFormatting sqref="N34 S34 X34 AC34 AH34 N36 S36 X36 AC36 AH36 N38 S38 X38 AC38 AH38 N40 S40 X40 AC40 AH40 N42 S42 X42 AC42 AH42 N44 S44 X44 AC44 AH44 N46 S46 X46 AC46 AH46 N48 S48 X48 AC48 AH48 N50 S50 X50 AC50 AH50 N56 S56 X56 AC56 AH56 N69 S69 X69 AC69 AH69 N71 S71 X71 AC71 AH71 N73 S73 X73 AC73 AH73 N75 S75 X75 AC75 AH75 N77 S77 X77 AC77 AH77 N79 S79 X79 AC79 AH79 N82 S82 X82 AC82 AH82">
    <cfRule type="expression" dxfId="117" priority="2058">
      <formula>$AM$21=0</formula>
    </cfRule>
    <cfRule type="expression" dxfId="116" priority="2059">
      <formula>$AQ$21=3</formula>
    </cfRule>
  </conditionalFormatting>
  <conditionalFormatting sqref="N52 S52 X52 AC52 AH52">
    <cfRule type="expression" dxfId="115" priority="35">
      <formula>$AQ$21=3</formula>
    </cfRule>
    <cfRule type="expression" dxfId="114" priority="34">
      <formula>$AM$21=0</formula>
    </cfRule>
  </conditionalFormatting>
  <conditionalFormatting sqref="N54 S54 X54 AC54 AH54">
    <cfRule type="expression" dxfId="113" priority="20">
      <formula>$AQ$21=3</formula>
    </cfRule>
    <cfRule type="expression" dxfId="112" priority="19">
      <formula>$AM$21=0</formula>
    </cfRule>
  </conditionalFormatting>
  <conditionalFormatting sqref="O106">
    <cfRule type="expression" dxfId="111" priority="188">
      <formula>ISBLANK(O106)</formula>
    </cfRule>
  </conditionalFormatting>
  <conditionalFormatting sqref="P56">
    <cfRule type="cellIs" priority="162" operator="greaterThan">
      <formula>0</formula>
    </cfRule>
    <cfRule type="cellIs" dxfId="110" priority="163" operator="equal">
      <formula>0</formula>
    </cfRule>
  </conditionalFormatting>
  <conditionalFormatting sqref="P79">
    <cfRule type="cellIs" dxfId="109" priority="184" operator="equal">
      <formula>0</formula>
    </cfRule>
    <cfRule type="cellIs" priority="183" operator="greaterThan">
      <formula>0</formula>
    </cfRule>
  </conditionalFormatting>
  <conditionalFormatting sqref="P82">
    <cfRule type="cellIs" priority="66" operator="greaterThan">
      <formula>0</formula>
    </cfRule>
    <cfRule type="cellIs" dxfId="108" priority="67" operator="equal">
      <formula>0</formula>
    </cfRule>
  </conditionalFormatting>
  <conditionalFormatting sqref="P34:R34 P36:R36 P38:R38 P40:R40 P42:R42 P44:R44 P46:R46 P48:R48 P50:R50 P69:R69 P71:R71 P73:R73 P75:R75 P77:R77">
    <cfRule type="cellIs" priority="156" operator="greaterThan">
      <formula>0</formula>
    </cfRule>
    <cfRule type="cellIs" dxfId="107" priority="157" operator="equal">
      <formula>0</formula>
    </cfRule>
  </conditionalFormatting>
  <conditionalFormatting sqref="P52:R52">
    <cfRule type="cellIs" dxfId="106" priority="24" operator="equal">
      <formula>0</formula>
    </cfRule>
    <cfRule type="cellIs" priority="23" operator="greaterThan">
      <formula>0</formula>
    </cfRule>
  </conditionalFormatting>
  <conditionalFormatting sqref="P54:R54">
    <cfRule type="cellIs" dxfId="105" priority="9" operator="equal">
      <formula>0</formula>
    </cfRule>
    <cfRule type="cellIs" priority="8" operator="greaterThan">
      <formula>0</formula>
    </cfRule>
  </conditionalFormatting>
  <conditionalFormatting sqref="P56:R56 U56:W56 Z56:AB56 AE56:AG56 P79:R79 U79:W79 Z79:AB79 AE79:AG79 P82:R82 U82:W82 Z82:AB82 AE82:AG82">
    <cfRule type="expression" dxfId="104" priority="2184">
      <formula>$AQ$21=2</formula>
    </cfRule>
    <cfRule type="expression" dxfId="103" priority="2185">
      <formula>$AQ$21=1</formula>
    </cfRule>
  </conditionalFormatting>
  <conditionalFormatting sqref="P57:R57">
    <cfRule type="cellIs" dxfId="102" priority="159" operator="equal">
      <formula>0</formula>
    </cfRule>
  </conditionalFormatting>
  <conditionalFormatting sqref="P80:R80">
    <cfRule type="cellIs" dxfId="101" priority="180" operator="equal">
      <formula>0</formula>
    </cfRule>
  </conditionalFormatting>
  <conditionalFormatting sqref="P83:R83">
    <cfRule type="cellIs" dxfId="100" priority="63" operator="equal">
      <formula>0</formula>
    </cfRule>
  </conditionalFormatting>
  <conditionalFormatting sqref="Q1">
    <cfRule type="expression" dxfId="99" priority="227">
      <formula>$AP$7=0</formula>
    </cfRule>
  </conditionalFormatting>
  <conditionalFormatting sqref="Q88">
    <cfRule type="expression" dxfId="98" priority="4">
      <formula>ISBLANK(Q88)</formula>
    </cfRule>
  </conditionalFormatting>
  <conditionalFormatting sqref="R11:W11">
    <cfRule type="expression" dxfId="97" priority="39">
      <formula>$AN11=2</formula>
    </cfRule>
    <cfRule type="cellIs" priority="38" stopIfTrue="1" operator="greaterThan">
      <formula>0</formula>
    </cfRule>
  </conditionalFormatting>
  <conditionalFormatting sqref="R13:W13 R15:W15 R17:W17 R19:W19">
    <cfRule type="cellIs" priority="36" stopIfTrue="1" operator="greaterThan">
      <formula>0</formula>
    </cfRule>
    <cfRule type="expression" dxfId="96" priority="37">
      <formula>$AN13=2</formula>
    </cfRule>
  </conditionalFormatting>
  <conditionalFormatting sqref="U52 Z52 AE52 K52 P52">
    <cfRule type="expression" dxfId="95" priority="33">
      <formula>$AQ$21=2</formula>
    </cfRule>
  </conditionalFormatting>
  <conditionalFormatting sqref="U54 Z54 AE54 K54 P54">
    <cfRule type="expression" dxfId="94" priority="18">
      <formula>$AQ$21=2</formula>
    </cfRule>
  </conditionalFormatting>
  <conditionalFormatting sqref="U56">
    <cfRule type="cellIs" priority="160" operator="greaterThan">
      <formula>0</formula>
    </cfRule>
    <cfRule type="cellIs" dxfId="93" priority="161" operator="equal">
      <formula>0</formula>
    </cfRule>
  </conditionalFormatting>
  <conditionalFormatting sqref="U79">
    <cfRule type="cellIs" dxfId="92" priority="182" operator="equal">
      <formula>0</formula>
    </cfRule>
    <cfRule type="cellIs" priority="181" operator="greaterThan">
      <formula>0</formula>
    </cfRule>
  </conditionalFormatting>
  <conditionalFormatting sqref="U82">
    <cfRule type="cellIs" priority="64" operator="greaterThan">
      <formula>0</formula>
    </cfRule>
    <cfRule type="cellIs" dxfId="91" priority="65" operator="equal">
      <formula>0</formula>
    </cfRule>
  </conditionalFormatting>
  <conditionalFormatting sqref="U89 AF90 E103:E104">
    <cfRule type="expression" dxfId="90" priority="192">
      <formula>ISBLANK(E89)</formula>
    </cfRule>
  </conditionalFormatting>
  <conditionalFormatting sqref="U57:W57">
    <cfRule type="cellIs" dxfId="89" priority="158" operator="equal">
      <formula>0</formula>
    </cfRule>
  </conditionalFormatting>
  <conditionalFormatting sqref="U80:W80">
    <cfRule type="cellIs" dxfId="88" priority="179" operator="equal">
      <formula>0</formula>
    </cfRule>
  </conditionalFormatting>
  <conditionalFormatting sqref="U83:W83">
    <cfRule type="cellIs" dxfId="87" priority="62" operator="equal">
      <formula>0</formula>
    </cfRule>
  </conditionalFormatting>
  <conditionalFormatting sqref="W106">
    <cfRule type="expression" dxfId="86" priority="189">
      <formula>ISBLANK(W106)</formula>
    </cfRule>
  </conditionalFormatting>
  <conditionalFormatting sqref="X21">
    <cfRule type="expression" dxfId="85" priority="193">
      <formula>ISBLANK(X21)</formula>
    </cfRule>
  </conditionalFormatting>
  <conditionalFormatting sqref="Y88">
    <cfRule type="expression" dxfId="84" priority="5">
      <formula>ISBLANK(Y88)</formula>
    </cfRule>
  </conditionalFormatting>
  <conditionalFormatting sqref="Z34 AE34 AE36 AE38 AE40 AE42 AE44 AE46 AE48 U50 Z50 AE50 Z69 AE69 K50 P50">
    <cfRule type="expression" dxfId="83" priority="2041">
      <formula>$AQ$21=2</formula>
    </cfRule>
  </conditionalFormatting>
  <conditionalFormatting sqref="Z36 Z38 Z40 Z42 Z44 Z46 Z48 Z71 Z73 Z75 Z77 K34 P34 U34 K36 P36 U36 K38 P38 U38 K40 P40 U40 K42 P42 U42 K44 P44 U44 K46 P46 U46 K48 P48 U48 K69 P69 U69 K71 P71 U71 K73 P73 U73 K75 P75 U75 K77 P77 U77">
    <cfRule type="expression" dxfId="82" priority="1937">
      <formula>$AQ$21=2</formula>
    </cfRule>
  </conditionalFormatting>
  <conditionalFormatting sqref="Z56">
    <cfRule type="cellIs" dxfId="81" priority="149" operator="equal">
      <formula>0</formula>
    </cfRule>
    <cfRule type="cellIs" priority="148" operator="greaterThan">
      <formula>0</formula>
    </cfRule>
  </conditionalFormatting>
  <conditionalFormatting sqref="Z79">
    <cfRule type="cellIs" priority="139" operator="greaterThan">
      <formula>0</formula>
    </cfRule>
    <cfRule type="cellIs" dxfId="80" priority="140" operator="equal">
      <formula>0</formula>
    </cfRule>
  </conditionalFormatting>
  <conditionalFormatting sqref="Z82">
    <cfRule type="cellIs" dxfId="79" priority="59" operator="equal">
      <formula>0</formula>
    </cfRule>
    <cfRule type="cellIs" priority="58" operator="greaterThan">
      <formula>0</formula>
    </cfRule>
  </conditionalFormatting>
  <conditionalFormatting sqref="Z34:AB34 Z36:AB36 Z38:AB38 Z40:AB40 Z42:AB42 Z44:AB44 Z46:AB46 Z48:AB48 Z50:AB50 Z69:AB69 Z71:AB71 Z73:AB73 Z75:AB75 Z77:AB77 AE69:AG69 AE71:AG71 AE73:AG73 AE75:AG75 AE77:AG77">
    <cfRule type="expression" priority="1868" stopIfTrue="1">
      <formula>$AN34=2</formula>
    </cfRule>
  </conditionalFormatting>
  <conditionalFormatting sqref="Z34:AB34 Z36:AB36 Z38:AB38 Z40:AB40 Z42:AB42 Z44:AB44 Z46:AB46 Z48:AB48 Z50:AB50 Z69:AB69 AE69:AG69 Z71:AB71 AE71:AG71 Z73:AB73 AE73:AG73 Z75:AB75 AE75:AG75 Z77:AB77 AE77:AG77">
    <cfRule type="cellIs" dxfId="78" priority="1869" operator="lessThan">
      <formula>0</formula>
    </cfRule>
  </conditionalFormatting>
  <conditionalFormatting sqref="Z34:AB34 Z36:AB36 Z38:AB38 Z40:AB40 Z42:AB42 Z44:AB44 Z46:AB46 Z48:AB48 Z50:AB50">
    <cfRule type="cellIs" dxfId="77" priority="146" operator="equal">
      <formula>0</formula>
    </cfRule>
    <cfRule type="cellIs" priority="145" operator="greaterThan">
      <formula>0</formula>
    </cfRule>
  </conditionalFormatting>
  <conditionalFormatting sqref="Z52:AB52">
    <cfRule type="cellIs" dxfId="76" priority="22" operator="equal">
      <formula>0</formula>
    </cfRule>
    <cfRule type="expression" priority="25" stopIfTrue="1">
      <formula>$AN52=2</formula>
    </cfRule>
    <cfRule type="cellIs" dxfId="75" priority="26" operator="lessThan">
      <formula>0</formula>
    </cfRule>
    <cfRule type="cellIs" priority="21" operator="greaterThan">
      <formula>0</formula>
    </cfRule>
  </conditionalFormatting>
  <conditionalFormatting sqref="Z54:AB54">
    <cfRule type="cellIs" priority="6" operator="greaterThan">
      <formula>0</formula>
    </cfRule>
    <cfRule type="cellIs" dxfId="74" priority="7" operator="equal">
      <formula>0</formula>
    </cfRule>
    <cfRule type="expression" priority="10" stopIfTrue="1">
      <formula>$AN54=2</formula>
    </cfRule>
    <cfRule type="cellIs" dxfId="73" priority="11" operator="lessThan">
      <formula>0</formula>
    </cfRule>
  </conditionalFormatting>
  <conditionalFormatting sqref="Z56:AB57 Z79:AB80">
    <cfRule type="cellIs" dxfId="72" priority="40" operator="lessThan">
      <formula>0</formula>
    </cfRule>
  </conditionalFormatting>
  <conditionalFormatting sqref="Z57:AB57">
    <cfRule type="cellIs" dxfId="71" priority="147" operator="equal">
      <formula>0</formula>
    </cfRule>
  </conditionalFormatting>
  <conditionalFormatting sqref="Z69:AB69 Z71:AB71 Z73:AB73 Z75:AB75 Z77:AB77">
    <cfRule type="cellIs" priority="136" operator="greaterThan">
      <formula>0</formula>
    </cfRule>
    <cfRule type="cellIs" dxfId="70" priority="137" operator="equal">
      <formula>0</formula>
    </cfRule>
  </conditionalFormatting>
  <conditionalFormatting sqref="Z80:AB80">
    <cfRule type="cellIs" dxfId="69" priority="138" operator="equal">
      <formula>0</formula>
    </cfRule>
  </conditionalFormatting>
  <conditionalFormatting sqref="Z83:AB83">
    <cfRule type="cellIs" dxfId="68" priority="57" operator="equal">
      <formula>0</formula>
    </cfRule>
  </conditionalFormatting>
  <conditionalFormatting sqref="AC5">
    <cfRule type="cellIs" dxfId="67" priority="1" operator="equal">
      <formula>0</formula>
    </cfRule>
  </conditionalFormatting>
  <conditionalFormatting sqref="AC110">
    <cfRule type="expression" dxfId="66" priority="191">
      <formula>ISBLANK(AC110)</formula>
    </cfRule>
  </conditionalFormatting>
  <conditionalFormatting sqref="AE34 AE36 AE38 AE40 AE42 AE44 AE46 AE48 AE50 Z34 Z50 Z69 AE69 U50">
    <cfRule type="expression" dxfId="65" priority="2040">
      <formula>$AQ$21=1</formula>
    </cfRule>
  </conditionalFormatting>
  <conditionalFormatting sqref="AE52 Z52 U52">
    <cfRule type="expression" dxfId="64" priority="32">
      <formula>$AQ$21=1</formula>
    </cfRule>
  </conditionalFormatting>
  <conditionalFormatting sqref="AE54 Z54 U54">
    <cfRule type="expression" dxfId="63" priority="17">
      <formula>$AQ$21=1</formula>
    </cfRule>
  </conditionalFormatting>
  <conditionalFormatting sqref="AE56">
    <cfRule type="cellIs" dxfId="62" priority="114" operator="equal">
      <formula>0</formula>
    </cfRule>
    <cfRule type="cellIs" priority="113" operator="greaterThan">
      <formula>0</formula>
    </cfRule>
  </conditionalFormatting>
  <conditionalFormatting sqref="AE71 AE73 AE75 AE77">
    <cfRule type="expression" dxfId="61" priority="2240">
      <formula>$AQ$21=1</formula>
    </cfRule>
    <cfRule type="expression" dxfId="60" priority="2239">
      <formula>$AQ$21=2</formula>
    </cfRule>
    <cfRule type="expression" dxfId="59" priority="2238">
      <formula>$AQ$21=1</formula>
    </cfRule>
    <cfRule type="expression" dxfId="58" priority="2241">
      <formula>$AQ$21=2</formula>
    </cfRule>
  </conditionalFormatting>
  <conditionalFormatting sqref="AE79">
    <cfRule type="cellIs" priority="95" operator="greaterThan">
      <formula>0</formula>
    </cfRule>
    <cfRule type="cellIs" dxfId="57" priority="96" operator="equal">
      <formula>0</formula>
    </cfRule>
  </conditionalFormatting>
  <conditionalFormatting sqref="AE82">
    <cfRule type="cellIs" dxfId="56" priority="48" operator="equal">
      <formula>0</formula>
    </cfRule>
    <cfRule type="cellIs" priority="47" operator="greaterThan">
      <formula>0</formula>
    </cfRule>
  </conditionalFormatting>
  <conditionalFormatting sqref="AE34:AG34 AE36:AG36 AE38:AG38 AE40:AG40 AE42:AG42 AE44:AG44 AE46:AG46 AE48:AG48 AE50:AG50">
    <cfRule type="cellIs" priority="1890" operator="greaterThan">
      <formula>0</formula>
    </cfRule>
    <cfRule type="expression" priority="1888" stopIfTrue="1">
      <formula>$AN34=2</formula>
    </cfRule>
    <cfRule type="cellIs" dxfId="55" priority="1889" operator="lessThan">
      <formula>0</formula>
    </cfRule>
    <cfRule type="cellIs" dxfId="54" priority="1891" operator="equal">
      <formula>0</formula>
    </cfRule>
  </conditionalFormatting>
  <conditionalFormatting sqref="AE52:AG52">
    <cfRule type="expression" priority="27" stopIfTrue="1">
      <formula>$AN52=2</formula>
    </cfRule>
    <cfRule type="cellIs" dxfId="53" priority="28" operator="lessThan">
      <formula>0</formula>
    </cfRule>
    <cfRule type="cellIs" priority="29" operator="greaterThan">
      <formula>0</formula>
    </cfRule>
    <cfRule type="cellIs" dxfId="52" priority="30" operator="equal">
      <formula>0</formula>
    </cfRule>
  </conditionalFormatting>
  <conditionalFormatting sqref="AE54:AG54">
    <cfRule type="cellIs" dxfId="51" priority="15" operator="equal">
      <formula>0</formula>
    </cfRule>
    <cfRule type="cellIs" priority="14" operator="greaterThan">
      <formula>0</formula>
    </cfRule>
    <cfRule type="cellIs" dxfId="50" priority="13" operator="lessThan">
      <formula>0</formula>
    </cfRule>
    <cfRule type="expression" priority="12" stopIfTrue="1">
      <formula>$AN54=2</formula>
    </cfRule>
  </conditionalFormatting>
  <conditionalFormatting sqref="AE56:AG57 AE79:AG80 Z82:AB83 AE82:AG83">
    <cfRule type="cellIs" dxfId="49" priority="41" operator="lessThan">
      <formula>0</formula>
    </cfRule>
  </conditionalFormatting>
  <conditionalFormatting sqref="AE57:AG57">
    <cfRule type="cellIs" dxfId="48" priority="112" operator="equal">
      <formula>0</formula>
    </cfRule>
  </conditionalFormatting>
  <conditionalFormatting sqref="AE69:AG69 AE71:AG71 AE73:AG73 AE75:AG75 AE77:AG77">
    <cfRule type="cellIs" dxfId="47" priority="93" operator="equal">
      <formula>0</formula>
    </cfRule>
    <cfRule type="cellIs" priority="92" operator="greaterThan">
      <formula>0</formula>
    </cfRule>
  </conditionalFormatting>
  <conditionalFormatting sqref="AE80:AG80">
    <cfRule type="cellIs" dxfId="46" priority="94" operator="equal">
      <formula>0</formula>
    </cfRule>
  </conditionalFormatting>
  <conditionalFormatting sqref="AE83:AG83">
    <cfRule type="cellIs" dxfId="45" priority="46" operator="equal">
      <formula>0</formula>
    </cfRule>
  </conditionalFormatting>
  <conditionalFormatting sqref="AE6:AJ9">
    <cfRule type="expression" dxfId="44" priority="176">
      <formula>ISBLANK(AE6)</formula>
    </cfRule>
  </conditionalFormatting>
  <conditionalFormatting sqref="AE63:AJ63">
    <cfRule type="cellIs" dxfId="43" priority="185" operator="equal">
      <formula>0</formula>
    </cfRule>
  </conditionalFormatting>
  <conditionalFormatting sqref="AJ34 AJ36 AJ38 AJ40 AJ42 AJ44 AJ46 AJ48 AJ50:AJ54 AJ69 AJ71 AJ73 AJ75 AJ77">
    <cfRule type="expression" dxfId="42" priority="77">
      <formula>$AM34=2</formula>
    </cfRule>
    <cfRule type="cellIs" priority="76" stopIfTrue="1" operator="greaterThan">
      <formula>0</formula>
    </cfRule>
  </conditionalFormatting>
  <conditionalFormatting sqref="BF1:BZ4">
    <cfRule type="expression" dxfId="41" priority="2">
      <formula>AP7=0</formula>
    </cfRule>
  </conditionalFormatting>
  <printOptions horizontalCentered="1"/>
  <pageMargins left="0.25" right="0.25" top="0.25" bottom="0.25" header="0.3" footer="0.3"/>
  <pageSetup orientation="portrait" horizontalDpi="1200" verticalDpi="1200" r:id="rId1"/>
  <rowBreaks count="1" manualBreakCount="1">
    <brk id="62" max="16383" man="1"/>
  </rowBreaks>
  <ignoredErrors>
    <ignoredError sqref="Z69 Z71 Z73 Z75 Z77 AE69 AE71 AE73 AE75 AE77" unlockedFormula="1"/>
    <ignoredError sqref="AM69 AM71 AM73 AM75" formula="1"/>
  </ignoredErrors>
  <drawing r:id="rId2"/>
  <legacyDrawing r:id="rId3"/>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License Tab, accept the conditions to use this form._x000a_                     OR_x000a__x000a_This form has expired.  Please obtain the latest version of this form." xr:uid="{47BAE21A-2224-45A7-A4EC-61726AC84E61}">
          <x14:formula1>
            <xm:f>Tables!$B$8</xm:f>
          </x14:formula1>
          <xm:sqref>R19:W19 D15 D17 D11 D19 R11:W11 R13:W13 R15:W15 R17:W17 D13</xm:sqref>
        </x14:dataValidation>
        <x14:dataValidation type="custom" allowBlank="1" showInputMessage="1" showErrorMessage="1" errorTitle="Woorkbook Locked" error="On the License Tab, accept the conditions to use this form._x000a__x000a_                     OR_x000a__x000a_This form has expired.  Please obtain the latest version of this form." xr:uid="{14940FE2-8364-4988-8585-EC40EE4DA61F}">
          <x14:formula1>
            <xm:f>Tables!$B$8</xm:f>
          </x14:formula1>
          <xm:sqref>E6:Y7 AE6:AJ9 I21 L21 X21 D25 D27 D29 G29 G27 G25 K34:M34 K36:M36 K38:M38 K40:M40 K42:M42 K44:M44 K46:M46 K48:M48 K50:M50 K52:M52 K54:M54 H54:I54 H52:I52 H50:I50 H48:I48 H46:I46 C46:F46 C48:F48 C50:F50 C52:F52 C54:F54 U34:W34 U36:W36 U38:W38 U40:W40 U42:W42 U44:W44 U46:W46 U48:W48 U50:W50 U52:W52 U54:W54 K69:M69 K71:M71 K73:M73 K75:M75 K77:M77 H77:I77 H75:I75 H73:I73 C73:F73 C75:F75 C77:F77 U69:W69 U71:W71 U73:W73 U75:W75 U77:W77 G86:AA87 G88:M88 Q88:T88 Y88:AA88 G89:R89 U89:AA89 G90:AA90 AF90:AJ90 E103:Y105 E106:K106 O106:R106 W106:Y106 E107:Y107 E108:I108 AC110:AG110</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935E2BEF-21C0-4DB9-95E3-6F0C0B77ADDE}">
          <x14:formula1>
            <xm:f>Tables!$B$8</xm:f>
          </x14:formula1>
          <xm:sqref>B93:AJ96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B1:BI5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4" customWidth="1"/>
    <col min="2" max="37" width="2.77734375" style="4" customWidth="1"/>
    <col min="38" max="38" width="10.33203125" style="17" hidden="1" customWidth="1"/>
    <col min="39" max="40" width="15.77734375" style="17" hidden="1" customWidth="1"/>
    <col min="41" max="41" width="9.21875" style="17" hidden="1" customWidth="1"/>
    <col min="42" max="43" width="5.77734375" style="17" hidden="1" customWidth="1"/>
    <col min="44" max="55" width="2.77734375" style="4" customWidth="1"/>
    <col min="56" max="61" width="2.77734375" style="4" hidden="1" customWidth="1"/>
    <col min="62" max="98" width="0" style="4" hidden="1" customWidth="1"/>
    <col min="99" max="16384" width="0" style="4" hidden="1"/>
  </cols>
  <sheetData>
    <row r="1" spans="2:61" ht="15" customHeight="1" x14ac:dyDescent="0.3">
      <c r="P1" s="102" t="str">
        <f>IF(AO7=0,"Select BMP Type",IF(AO7=1,"Form 2A.3 - Detention Pond",IF(AO7=2,"Form 2B.3 - Retention Pond",IF(AO7=3,"Form 2C.3 - Underground Detention",IF(AO7=4,"Form 2D.3 - Bioretention Area",IF(AO7=5,"Form 2F.3 - Permeable Pavement","Select Form"))))))&amp;"
Additional Basins Form - Page 1"</f>
        <v>Select BMP Type
Additional Basins Form - Page 1</v>
      </c>
      <c r="Q1" s="102"/>
      <c r="R1" s="102"/>
      <c r="S1" s="102"/>
      <c r="T1" s="102"/>
      <c r="U1" s="102"/>
      <c r="V1" s="102"/>
      <c r="W1" s="102"/>
      <c r="X1" s="102"/>
      <c r="Y1" s="102"/>
      <c r="Z1" s="102"/>
      <c r="AA1" s="102"/>
      <c r="AB1" s="102"/>
      <c r="AC1" s="102"/>
      <c r="AD1" s="102"/>
      <c r="AE1" s="102"/>
      <c r="AF1" s="102"/>
      <c r="AG1" s="102"/>
      <c r="AH1" s="102"/>
      <c r="AI1" s="102"/>
      <c r="AJ1" s="102"/>
      <c r="AK1" s="68"/>
      <c r="BG1" s="10"/>
      <c r="BH1" s="10"/>
    </row>
    <row r="2" spans="2:61" ht="15" customHeight="1" x14ac:dyDescent="0.3">
      <c r="K2" s="5"/>
      <c r="P2" s="102"/>
      <c r="Q2" s="102"/>
      <c r="R2" s="102"/>
      <c r="S2" s="102"/>
      <c r="T2" s="102"/>
      <c r="U2" s="102"/>
      <c r="V2" s="102"/>
      <c r="W2" s="102"/>
      <c r="X2" s="102"/>
      <c r="Y2" s="102"/>
      <c r="Z2" s="102"/>
      <c r="AA2" s="102"/>
      <c r="AB2" s="102"/>
      <c r="AC2" s="102"/>
      <c r="AD2" s="102"/>
      <c r="AE2" s="102"/>
      <c r="AF2" s="102"/>
      <c r="AG2" s="102"/>
      <c r="AH2" s="102"/>
      <c r="AI2" s="102"/>
      <c r="AJ2" s="102"/>
      <c r="AK2" s="68"/>
      <c r="AM2" s="69" t="s">
        <v>199</v>
      </c>
      <c r="AN2" s="69"/>
      <c r="AO2" s="25">
        <f>IF(ISBLANK(C12),0,1)</f>
        <v>0</v>
      </c>
      <c r="AQ2" s="25">
        <f>LEN(C12)</f>
        <v>0</v>
      </c>
      <c r="BG2" s="10"/>
      <c r="BH2" s="10"/>
    </row>
    <row r="3" spans="2:61" ht="15" customHeight="1" x14ac:dyDescent="0.3">
      <c r="K3" s="5"/>
      <c r="L3" s="5"/>
      <c r="M3" s="5"/>
      <c r="N3" s="5"/>
      <c r="O3" s="5"/>
      <c r="P3" s="102"/>
      <c r="Q3" s="102"/>
      <c r="R3" s="102"/>
      <c r="S3" s="102"/>
      <c r="T3" s="102"/>
      <c r="U3" s="102"/>
      <c r="V3" s="102"/>
      <c r="W3" s="102"/>
      <c r="X3" s="102"/>
      <c r="Y3" s="102"/>
      <c r="Z3" s="102"/>
      <c r="AA3" s="102"/>
      <c r="AB3" s="102"/>
      <c r="AC3" s="102"/>
      <c r="AD3" s="102"/>
      <c r="AE3" s="102"/>
      <c r="AF3" s="102"/>
      <c r="AG3" s="102"/>
      <c r="AH3" s="102"/>
      <c r="AI3" s="102"/>
      <c r="AJ3" s="102"/>
      <c r="AK3" s="68"/>
      <c r="AM3" s="69" t="s">
        <v>200</v>
      </c>
      <c r="AN3" s="69"/>
      <c r="AO3" s="25">
        <f>IF(ISBLANK(C14),0,2)</f>
        <v>0</v>
      </c>
      <c r="AQ3" s="25">
        <f>LEN(C14)</f>
        <v>0</v>
      </c>
      <c r="BG3" s="10"/>
      <c r="BH3" s="10"/>
    </row>
    <row r="4" spans="2:61" ht="15" customHeight="1" x14ac:dyDescent="0.3">
      <c r="K4" s="5"/>
      <c r="L4" s="5"/>
      <c r="M4" s="5"/>
      <c r="N4" s="5"/>
      <c r="O4" s="5"/>
      <c r="P4" s="102"/>
      <c r="Q4" s="102"/>
      <c r="R4" s="102"/>
      <c r="S4" s="102"/>
      <c r="T4" s="102"/>
      <c r="U4" s="102"/>
      <c r="V4" s="102"/>
      <c r="W4" s="102"/>
      <c r="X4" s="102"/>
      <c r="Y4" s="102"/>
      <c r="Z4" s="102"/>
      <c r="AA4" s="102"/>
      <c r="AB4" s="102"/>
      <c r="AC4" s="102"/>
      <c r="AD4" s="102"/>
      <c r="AE4" s="102"/>
      <c r="AF4" s="102"/>
      <c r="AG4" s="102"/>
      <c r="AH4" s="102"/>
      <c r="AI4" s="102"/>
      <c r="AJ4" s="102"/>
      <c r="AK4" s="68"/>
      <c r="AM4" s="69" t="s">
        <v>201</v>
      </c>
      <c r="AN4" s="69"/>
      <c r="AO4" s="25">
        <f>IF(ISBLANK(C16),0,3)</f>
        <v>0</v>
      </c>
      <c r="AQ4" s="25">
        <f>LEN(C16)</f>
        <v>0</v>
      </c>
      <c r="BG4" s="10"/>
      <c r="BH4" s="10"/>
    </row>
    <row r="5" spans="2:61" ht="15" customHeight="1" x14ac:dyDescent="0.3">
      <c r="K5" s="5"/>
      <c r="L5" s="5"/>
      <c r="M5" s="5"/>
      <c r="N5" s="5"/>
      <c r="O5" s="5"/>
      <c r="P5" s="5"/>
      <c r="Q5" s="5"/>
      <c r="R5" s="5"/>
      <c r="S5" s="5"/>
      <c r="T5" s="5"/>
      <c r="U5" s="12"/>
      <c r="V5" s="12"/>
      <c r="W5" s="10"/>
      <c r="X5" s="10"/>
      <c r="Y5" s="10"/>
      <c r="Z5" s="10"/>
      <c r="AA5" s="10"/>
      <c r="AB5" s="10"/>
      <c r="AC5" s="10"/>
      <c r="AD5" s="10"/>
      <c r="AE5" s="10"/>
      <c r="AF5" s="10"/>
      <c r="AG5" s="10"/>
      <c r="AH5" s="10"/>
      <c r="AI5" s="10"/>
      <c r="AJ5" s="10"/>
      <c r="AK5" s="10"/>
      <c r="AM5" s="69" t="s">
        <v>202</v>
      </c>
      <c r="AN5" s="69"/>
      <c r="AO5" s="25">
        <f>IF(ISBLANK(C18),0,4)</f>
        <v>0</v>
      </c>
      <c r="AQ5" s="25">
        <f>LEN(C18)</f>
        <v>0</v>
      </c>
      <c r="BG5" s="10"/>
      <c r="BH5" s="10"/>
    </row>
    <row r="6" spans="2:61" ht="15" customHeight="1" x14ac:dyDescent="0.3">
      <c r="B6" s="1" t="s">
        <v>0</v>
      </c>
      <c r="C6" s="1"/>
      <c r="D6" s="1"/>
      <c r="E6" s="1"/>
      <c r="F6" s="1"/>
      <c r="G6" s="1"/>
      <c r="H6" s="1"/>
      <c r="I6" s="1"/>
      <c r="J6" s="1"/>
      <c r="AB6" s="2" t="s">
        <v>101</v>
      </c>
      <c r="AC6" s="101"/>
      <c r="AD6" s="101"/>
      <c r="AE6" s="101"/>
      <c r="AF6" s="101"/>
      <c r="AG6" s="101"/>
      <c r="AH6" s="101"/>
      <c r="AI6" s="101"/>
      <c r="AJ6" s="101"/>
      <c r="AM6" s="69" t="s">
        <v>203</v>
      </c>
      <c r="AN6" s="69"/>
      <c r="AO6" s="25">
        <f>IF(ISBLANK(C20),0,5)</f>
        <v>0</v>
      </c>
      <c r="AQ6" s="25">
        <f>LEN(C20)</f>
        <v>0</v>
      </c>
      <c r="BG6"/>
      <c r="BH6"/>
      <c r="BI6"/>
    </row>
    <row r="7" spans="2:61" ht="15" customHeight="1" x14ac:dyDescent="0.3">
      <c r="C7" s="2"/>
      <c r="D7" s="2" t="s">
        <v>30</v>
      </c>
      <c r="E7" s="112"/>
      <c r="F7" s="112"/>
      <c r="G7" s="112"/>
      <c r="H7" s="112"/>
      <c r="I7" s="112"/>
      <c r="J7" s="112"/>
      <c r="K7" s="112"/>
      <c r="L7" s="112"/>
      <c r="M7" s="112"/>
      <c r="N7" s="112"/>
      <c r="O7" s="112"/>
      <c r="P7" s="112"/>
      <c r="Q7" s="112"/>
      <c r="R7" s="112"/>
      <c r="S7" s="112"/>
      <c r="T7" s="112"/>
      <c r="U7" s="112"/>
      <c r="V7" s="112"/>
      <c r="W7" s="112"/>
      <c r="X7" s="112"/>
      <c r="AD7" s="2" t="s">
        <v>39</v>
      </c>
      <c r="AE7" s="103"/>
      <c r="AF7" s="103"/>
      <c r="AG7" s="103"/>
      <c r="AH7" s="103"/>
      <c r="AI7" s="103"/>
      <c r="AJ7" s="103"/>
      <c r="AO7" s="25">
        <f>MAX(AO2:AO6)</f>
        <v>0</v>
      </c>
      <c r="AQ7" s="25">
        <f>SUM(AQ2:AQ6)</f>
        <v>0</v>
      </c>
      <c r="BG7" s="15"/>
      <c r="BH7" s="15"/>
      <c r="BI7" s="15"/>
    </row>
    <row r="8" spans="2:61" ht="15" customHeight="1" x14ac:dyDescent="0.3">
      <c r="C8" s="2"/>
      <c r="D8" s="2" t="s">
        <v>31</v>
      </c>
      <c r="E8" s="114"/>
      <c r="F8" s="114"/>
      <c r="G8" s="114"/>
      <c r="H8" s="114"/>
      <c r="I8" s="114"/>
      <c r="J8" s="114"/>
      <c r="K8" s="114"/>
      <c r="L8" s="114"/>
      <c r="M8" s="114"/>
      <c r="N8" s="114"/>
      <c r="O8" s="114"/>
      <c r="P8" s="114"/>
      <c r="Q8" s="114"/>
      <c r="R8" s="114"/>
      <c r="S8" s="114"/>
      <c r="T8" s="114"/>
      <c r="U8" s="114"/>
      <c r="V8" s="114"/>
      <c r="W8" s="114"/>
      <c r="X8" s="114"/>
      <c r="AD8" s="2" t="s">
        <v>40</v>
      </c>
      <c r="AE8" s="115"/>
      <c r="AF8" s="115"/>
      <c r="AG8" s="115"/>
      <c r="AH8" s="115"/>
      <c r="AI8" s="115"/>
      <c r="AJ8" s="115"/>
      <c r="BG8" s="13"/>
      <c r="BH8" s="13"/>
      <c r="BI8" s="13"/>
    </row>
    <row r="9" spans="2:61"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18"/>
      <c r="AM9" s="18"/>
      <c r="AN9" s="18"/>
      <c r="AO9" s="18"/>
      <c r="AP9" s="18"/>
      <c r="AQ9" s="18"/>
      <c r="BG9" s="13"/>
      <c r="BH9" s="13"/>
      <c r="BI9" s="13"/>
    </row>
    <row r="10" spans="2:61" ht="15" customHeight="1" x14ac:dyDescent="0.3">
      <c r="B10" s="16" t="s">
        <v>198</v>
      </c>
      <c r="C10" s="16"/>
      <c r="D10" s="16"/>
      <c r="E10" s="16"/>
      <c r="Y10" s="4" t="s">
        <v>97</v>
      </c>
      <c r="AE10" s="67"/>
      <c r="AF10" s="16" t="s">
        <v>81</v>
      </c>
      <c r="AH10" s="67"/>
      <c r="AI10" s="16" t="s">
        <v>82</v>
      </c>
      <c r="AL10" s="25">
        <f>IF(AND(ISBLANK(AE10),ISBLANK(AH10)),1,2)</f>
        <v>1</v>
      </c>
      <c r="AM10" s="25">
        <f>IF(ISBLANK(AE10),0,1)</f>
        <v>0</v>
      </c>
      <c r="AN10" s="25">
        <f>IF(ISBLANK(AH10),0,2)</f>
        <v>0</v>
      </c>
      <c r="AO10" s="25">
        <f>SUM(AM10:AN10)</f>
        <v>0</v>
      </c>
      <c r="AP10" s="17" t="s">
        <v>98</v>
      </c>
      <c r="BG10" s="13"/>
      <c r="BH10" s="13"/>
      <c r="BI10" s="13"/>
    </row>
    <row r="11" spans="2:61" ht="4.95" customHeight="1" x14ac:dyDescent="0.3">
      <c r="F11" s="2"/>
    </row>
    <row r="12" spans="2:61" ht="15" customHeight="1" x14ac:dyDescent="0.3">
      <c r="C12" s="67"/>
      <c r="D12" s="4" t="s">
        <v>270</v>
      </c>
      <c r="F12" s="2"/>
      <c r="P12" s="2" t="s">
        <v>39</v>
      </c>
      <c r="Q12" s="103"/>
      <c r="R12" s="103"/>
      <c r="S12" s="103"/>
      <c r="T12" s="103"/>
      <c r="U12" s="103"/>
      <c r="V12" s="103"/>
      <c r="AL12" s="93">
        <f>IF(AND(ISBLANK(C12),ISBLANK(C14),ISBLANK(C16),ISBLANK(C18),ISBLANK(C20)),1,2)</f>
        <v>1</v>
      </c>
      <c r="AM12" s="25">
        <f>IF(ISBLANK(C12),1,2)</f>
        <v>1</v>
      </c>
    </row>
    <row r="13" spans="2:61" ht="4.95" customHeight="1" x14ac:dyDescent="0.3">
      <c r="C13" s="2"/>
      <c r="D13" s="2"/>
      <c r="F13" s="2"/>
    </row>
    <row r="14" spans="2:61" ht="14.55" customHeight="1" x14ac:dyDescent="0.3">
      <c r="C14" s="67"/>
      <c r="D14" s="4" t="s">
        <v>271</v>
      </c>
      <c r="P14" s="2" t="s">
        <v>39</v>
      </c>
      <c r="Q14" s="103"/>
      <c r="R14" s="103"/>
      <c r="S14" s="103"/>
      <c r="T14" s="103"/>
      <c r="U14" s="103"/>
      <c r="V14" s="103"/>
      <c r="AM14" s="25">
        <f>IF(ISBLANK(C14),1,2)</f>
        <v>1</v>
      </c>
      <c r="AN14" s="18"/>
      <c r="BG14" s="13"/>
      <c r="BH14" s="13"/>
      <c r="BI14" s="13"/>
    </row>
    <row r="15" spans="2:61" ht="4.95" customHeight="1" x14ac:dyDescent="0.3">
      <c r="C15" s="2"/>
      <c r="D15" s="2"/>
      <c r="AN15" s="18"/>
      <c r="BG15" s="13"/>
      <c r="BH15" s="13"/>
      <c r="BI15" s="13"/>
    </row>
    <row r="16" spans="2:61" ht="14.55" customHeight="1" x14ac:dyDescent="0.3">
      <c r="C16" s="67"/>
      <c r="D16" s="4" t="s">
        <v>272</v>
      </c>
      <c r="P16" s="2" t="s">
        <v>39</v>
      </c>
      <c r="Q16" s="103"/>
      <c r="R16" s="103"/>
      <c r="S16" s="103"/>
      <c r="T16" s="103"/>
      <c r="U16" s="103"/>
      <c r="V16" s="103"/>
      <c r="AM16" s="25">
        <f>IF(ISBLANK(C16),1,2)</f>
        <v>1</v>
      </c>
      <c r="AN16" s="18"/>
      <c r="BG16" s="13"/>
      <c r="BH16" s="13"/>
      <c r="BI16" s="13"/>
    </row>
    <row r="17" spans="2:61" ht="4.95" customHeight="1" x14ac:dyDescent="0.3">
      <c r="AL17" s="24"/>
      <c r="AM17" s="24"/>
      <c r="AN17" s="18"/>
      <c r="BG17" s="13"/>
      <c r="BH17" s="13"/>
      <c r="BI17" s="13"/>
    </row>
    <row r="18" spans="2:61" ht="15" customHeight="1" x14ac:dyDescent="0.3">
      <c r="C18" s="67"/>
      <c r="D18" s="4" t="s">
        <v>273</v>
      </c>
      <c r="P18" s="2" t="s">
        <v>39</v>
      </c>
      <c r="Q18" s="103"/>
      <c r="R18" s="103"/>
      <c r="S18" s="103"/>
      <c r="T18" s="103"/>
      <c r="U18" s="103"/>
      <c r="V18" s="103"/>
      <c r="AL18" s="24"/>
      <c r="AM18" s="25">
        <f>IF(ISBLANK(C18),1,2)</f>
        <v>1</v>
      </c>
      <c r="AN18" s="18"/>
      <c r="BG18" s="13"/>
      <c r="BH18" s="13"/>
      <c r="BI18" s="13"/>
    </row>
    <row r="19" spans="2:61" ht="4.95" customHeight="1" x14ac:dyDescent="0.3">
      <c r="AL19" s="24"/>
      <c r="AM19" s="24"/>
      <c r="AN19" s="18"/>
      <c r="BG19" s="13"/>
      <c r="BH19" s="13"/>
      <c r="BI19" s="13"/>
    </row>
    <row r="20" spans="2:61" ht="15" customHeight="1" x14ac:dyDescent="0.3">
      <c r="C20" s="67"/>
      <c r="D20" s="4" t="s">
        <v>274</v>
      </c>
      <c r="P20" s="2" t="s">
        <v>39</v>
      </c>
      <c r="Q20" s="103"/>
      <c r="R20" s="103"/>
      <c r="S20" s="103"/>
      <c r="T20" s="103"/>
      <c r="U20" s="103"/>
      <c r="V20" s="103"/>
      <c r="AL20" s="24"/>
      <c r="AM20" s="25">
        <f>IF(ISBLANK(C20),1,2)</f>
        <v>1</v>
      </c>
      <c r="AN20" s="18"/>
      <c r="BG20" s="13"/>
      <c r="BH20" s="13"/>
      <c r="BI20" s="13"/>
    </row>
    <row r="21" spans="2:61" ht="15" customHeight="1" x14ac:dyDescent="0.3">
      <c r="AL21" s="24"/>
      <c r="AM21" s="24"/>
      <c r="AN21" s="18"/>
      <c r="BG21" s="13"/>
      <c r="BH21" s="13"/>
      <c r="BI21" s="13"/>
    </row>
    <row r="22" spans="2:61" ht="15" customHeight="1" x14ac:dyDescent="0.3">
      <c r="B22" s="1" t="s">
        <v>1</v>
      </c>
      <c r="C22" s="1"/>
      <c r="D22" s="1"/>
      <c r="E22" s="1"/>
      <c r="F22" s="1"/>
      <c r="G22" s="1"/>
      <c r="H22" s="1"/>
      <c r="I22" s="1"/>
      <c r="J22" s="1"/>
      <c r="S22" s="4" t="s">
        <v>84</v>
      </c>
      <c r="Z22" s="67"/>
      <c r="AA22" s="4" t="s">
        <v>85</v>
      </c>
      <c r="AC22" s="67"/>
      <c r="AD22" s="4" t="s">
        <v>86</v>
      </c>
      <c r="AF22" s="67"/>
      <c r="AG22" s="4" t="s">
        <v>87</v>
      </c>
      <c r="AI22" s="67"/>
      <c r="AJ22" s="4" t="s">
        <v>88</v>
      </c>
      <c r="AL22" s="25">
        <f>IF(AND(ISBLANK(Z22),ISBLANK(AC22),ISBLANK(AF22),ISBLANK(AI22)),1,2)</f>
        <v>1</v>
      </c>
      <c r="AM22" s="25">
        <f>IF(ISBLANK(Z22),IF(ISBLANK(AC22),IF(ISBLANK(AF22),IF(ISBLANK(AI22),0,4),3),2),1)</f>
        <v>0</v>
      </c>
      <c r="BG22" s="13"/>
      <c r="BH22" s="13"/>
      <c r="BI22" s="13"/>
    </row>
    <row r="23" spans="2:61" s="24" customFormat="1" ht="15" hidden="1" customHeight="1" x14ac:dyDescent="0.3">
      <c r="B23" s="29"/>
      <c r="C23" s="29"/>
      <c r="D23" s="29"/>
      <c r="E23" s="29"/>
      <c r="F23" s="29"/>
      <c r="G23" s="29"/>
      <c r="H23" s="29"/>
      <c r="I23" s="29"/>
      <c r="J23" s="29"/>
      <c r="L23" s="25">
        <f>IF(ISBLANK(L24),1,2)</f>
        <v>1</v>
      </c>
      <c r="P23" s="25">
        <f>IF(ISBLANK(P24),1,2)</f>
        <v>1</v>
      </c>
      <c r="T23" s="25">
        <f>IF(ISBLANK(T24),1,2)</f>
        <v>1</v>
      </c>
      <c r="X23" s="25">
        <f>IF(ISBLANK(X24),1,2)</f>
        <v>1</v>
      </c>
      <c r="AB23" s="25">
        <f>IF(ISBLANK(AB24),1,2)</f>
        <v>1</v>
      </c>
      <c r="AF23" s="25">
        <f>IF(ISBLANK(AF24),1,2)</f>
        <v>1</v>
      </c>
    </row>
    <row r="24" spans="2:61" ht="14.55" customHeight="1" x14ac:dyDescent="0.3">
      <c r="J24" s="2" t="s">
        <v>18</v>
      </c>
      <c r="L24" s="118"/>
      <c r="M24" s="118"/>
      <c r="N24" s="118"/>
      <c r="P24" s="118"/>
      <c r="Q24" s="118"/>
      <c r="R24" s="118"/>
      <c r="T24" s="118"/>
      <c r="U24" s="118"/>
      <c r="V24" s="118"/>
      <c r="X24" s="118"/>
      <c r="Y24" s="118"/>
      <c r="Z24" s="118"/>
      <c r="AB24" s="118"/>
      <c r="AC24" s="118"/>
      <c r="AD24" s="118"/>
      <c r="AF24" s="118"/>
      <c r="AG24" s="118"/>
      <c r="AH24" s="118"/>
      <c r="AI24" s="6"/>
      <c r="BG24" s="13"/>
      <c r="BH24" s="13"/>
      <c r="BI24" s="13"/>
    </row>
    <row r="25" spans="2:61" ht="14.55" customHeight="1" x14ac:dyDescent="0.3">
      <c r="H25" s="2" t="s">
        <v>99</v>
      </c>
      <c r="I25" s="151" t="str">
        <f>IF($AO$10=0,"Units?",IF($AO$10=1,"(ac):",IF($AO$10=2,"(sq-ft):","Error")))</f>
        <v>Units?</v>
      </c>
      <c r="J25" s="151"/>
      <c r="L25" s="148"/>
      <c r="M25" s="148"/>
      <c r="N25" s="148"/>
      <c r="P25" s="148"/>
      <c r="Q25" s="148"/>
      <c r="R25" s="148"/>
      <c r="T25" s="148"/>
      <c r="U25" s="148"/>
      <c r="V25" s="148"/>
      <c r="X25" s="149"/>
      <c r="Y25" s="149"/>
      <c r="Z25" s="149"/>
      <c r="AB25" s="148"/>
      <c r="AC25" s="148"/>
      <c r="AD25" s="148"/>
      <c r="AF25" s="148"/>
      <c r="AG25" s="148"/>
      <c r="AH25" s="148"/>
      <c r="AI25" s="8"/>
      <c r="BG25" s="13"/>
      <c r="BH25" s="13"/>
      <c r="BI25" s="13"/>
    </row>
    <row r="26" spans="2:61" ht="14.55" customHeight="1" x14ac:dyDescent="0.3">
      <c r="J26" s="2" t="s">
        <v>2</v>
      </c>
      <c r="L26" s="147"/>
      <c r="M26" s="147"/>
      <c r="N26" s="147"/>
      <c r="P26" s="147"/>
      <c r="Q26" s="147"/>
      <c r="R26" s="147"/>
      <c r="T26" s="147"/>
      <c r="U26" s="147"/>
      <c r="V26" s="147"/>
      <c r="X26" s="147"/>
      <c r="Y26" s="147"/>
      <c r="Z26" s="147"/>
      <c r="AB26" s="147"/>
      <c r="AC26" s="147"/>
      <c r="AD26" s="147"/>
      <c r="AF26" s="147"/>
      <c r="AG26" s="147"/>
      <c r="AH26" s="147"/>
      <c r="AI26" s="7"/>
      <c r="BG26" s="13"/>
      <c r="BH26" s="13"/>
      <c r="BI26" s="13"/>
    </row>
    <row r="27" spans="2:61" ht="14.55" customHeight="1" x14ac:dyDescent="0.3">
      <c r="J27" s="2" t="s">
        <v>19</v>
      </c>
      <c r="L27" s="147"/>
      <c r="M27" s="147"/>
      <c r="N27" s="147"/>
      <c r="P27" s="147"/>
      <c r="Q27" s="147"/>
      <c r="R27" s="147"/>
      <c r="T27" s="147"/>
      <c r="U27" s="147"/>
      <c r="V27" s="147"/>
      <c r="X27" s="147"/>
      <c r="Y27" s="147"/>
      <c r="Z27" s="147"/>
      <c r="AB27" s="147"/>
      <c r="AC27" s="147"/>
      <c r="AD27" s="147"/>
      <c r="AF27" s="147"/>
      <c r="AG27" s="147"/>
      <c r="AH27" s="147"/>
      <c r="AI27" s="11"/>
      <c r="BG27" s="13"/>
      <c r="BH27" s="13"/>
      <c r="BI27" s="13"/>
    </row>
    <row r="28" spans="2:61" ht="14.55" customHeight="1" x14ac:dyDescent="0.3">
      <c r="D28" s="150" t="s">
        <v>83</v>
      </c>
      <c r="E28" s="150"/>
      <c r="F28" s="146">
        <f>Tables!$F$16</f>
        <v>6.02</v>
      </c>
      <c r="G28" s="146"/>
      <c r="H28" s="11"/>
      <c r="I28" s="11"/>
      <c r="J28" s="2" t="str">
        <f>Tables!$D$16</f>
        <v>(2-yr)</v>
      </c>
      <c r="L28" s="149"/>
      <c r="M28" s="149"/>
      <c r="N28" s="149"/>
      <c r="P28" s="149"/>
      <c r="Q28" s="149"/>
      <c r="R28" s="149"/>
      <c r="T28" s="149"/>
      <c r="U28" s="149"/>
      <c r="V28" s="149"/>
      <c r="X28" s="149"/>
      <c r="Y28" s="149"/>
      <c r="Z28" s="149"/>
      <c r="AB28" s="149"/>
      <c r="AC28" s="149"/>
      <c r="AD28" s="149"/>
      <c r="AF28" s="149"/>
      <c r="AG28" s="149"/>
      <c r="AH28" s="149"/>
      <c r="AI28" s="8"/>
      <c r="BG28" s="13"/>
      <c r="BH28" s="13"/>
      <c r="BI28" s="13"/>
    </row>
    <row r="29" spans="2:61" ht="14.55" customHeight="1" x14ac:dyDescent="0.3">
      <c r="D29" s="150"/>
      <c r="E29" s="150"/>
      <c r="F29" s="146">
        <f>Tables!$F$17</f>
        <v>7.68</v>
      </c>
      <c r="G29" s="146"/>
      <c r="H29" s="11"/>
      <c r="I29" s="11"/>
      <c r="J29" s="2" t="str">
        <f>Tables!$D$17</f>
        <v>(5-yr)</v>
      </c>
      <c r="L29" s="148"/>
      <c r="M29" s="148"/>
      <c r="N29" s="148"/>
      <c r="P29" s="148"/>
      <c r="Q29" s="148"/>
      <c r="R29" s="148"/>
      <c r="T29" s="148"/>
      <c r="U29" s="148"/>
      <c r="V29" s="148"/>
      <c r="X29" s="148"/>
      <c r="Y29" s="148"/>
      <c r="Z29" s="148"/>
      <c r="AB29" s="148"/>
      <c r="AC29" s="148"/>
      <c r="AD29" s="148"/>
      <c r="AF29" s="148"/>
      <c r="AG29" s="148"/>
      <c r="AH29" s="148"/>
      <c r="AI29" s="8"/>
      <c r="BG29" s="13"/>
      <c r="BH29" s="13"/>
      <c r="BI29" s="13"/>
    </row>
    <row r="30" spans="2:61" ht="14.55" customHeight="1" x14ac:dyDescent="0.3">
      <c r="D30" s="150"/>
      <c r="E30" s="150"/>
      <c r="F30" s="146">
        <f>Tables!$F$18</f>
        <v>9.26</v>
      </c>
      <c r="G30" s="146"/>
      <c r="H30" s="11"/>
      <c r="I30" s="11"/>
      <c r="J30" s="2" t="str">
        <f>Tables!$D$18</f>
        <v>(10-yr)</v>
      </c>
      <c r="L30" s="148"/>
      <c r="M30" s="148"/>
      <c r="N30" s="148"/>
      <c r="P30" s="148"/>
      <c r="Q30" s="148"/>
      <c r="R30" s="148"/>
      <c r="T30" s="148"/>
      <c r="U30" s="148"/>
      <c r="V30" s="148"/>
      <c r="X30" s="148"/>
      <c r="Y30" s="148"/>
      <c r="Z30" s="148"/>
      <c r="AB30" s="148"/>
      <c r="AC30" s="148"/>
      <c r="AD30" s="148"/>
      <c r="AF30" s="148"/>
      <c r="AG30" s="148"/>
      <c r="AH30" s="148"/>
      <c r="AI30" s="8"/>
      <c r="BG30" s="13"/>
      <c r="BH30" s="13"/>
      <c r="BI30" s="13"/>
    </row>
    <row r="31" spans="2:61" ht="14.55" customHeight="1" x14ac:dyDescent="0.3">
      <c r="D31" s="150"/>
      <c r="E31" s="150"/>
      <c r="F31" s="146">
        <f>Tables!$F$19</f>
        <v>11.7</v>
      </c>
      <c r="G31" s="146"/>
      <c r="H31" s="11"/>
      <c r="I31" s="11"/>
      <c r="J31" s="2" t="str">
        <f>Tables!$D$19</f>
        <v>(25-yr)</v>
      </c>
      <c r="L31" s="148"/>
      <c r="M31" s="148"/>
      <c r="N31" s="148"/>
      <c r="P31" s="148"/>
      <c r="Q31" s="148"/>
      <c r="R31" s="148"/>
      <c r="T31" s="148"/>
      <c r="U31" s="148"/>
      <c r="V31" s="148"/>
      <c r="X31" s="148"/>
      <c r="Y31" s="148"/>
      <c r="Z31" s="148"/>
      <c r="AB31" s="148"/>
      <c r="AC31" s="148"/>
      <c r="AD31" s="148"/>
      <c r="AF31" s="148"/>
      <c r="AG31" s="148"/>
      <c r="AH31" s="148"/>
      <c r="AI31" s="8"/>
      <c r="BG31" s="13"/>
      <c r="BH31" s="13"/>
      <c r="BI31" s="13"/>
    </row>
    <row r="32" spans="2:61" ht="14.55" customHeight="1" x14ac:dyDescent="0.3">
      <c r="D32" s="150"/>
      <c r="E32" s="150"/>
      <c r="F32" s="146">
        <f>Tables!$F$20</f>
        <v>13.9</v>
      </c>
      <c r="G32" s="146"/>
      <c r="H32" s="11"/>
      <c r="I32" s="11"/>
      <c r="J32" s="2" t="str">
        <f>Tables!$D$20</f>
        <v>(50-yr)</v>
      </c>
      <c r="L32" s="148"/>
      <c r="M32" s="148"/>
      <c r="N32" s="148"/>
      <c r="P32" s="148"/>
      <c r="Q32" s="148"/>
      <c r="R32" s="148"/>
      <c r="T32" s="148"/>
      <c r="U32" s="148"/>
      <c r="V32" s="148"/>
      <c r="X32" s="148"/>
      <c r="Y32" s="148"/>
      <c r="Z32" s="148"/>
      <c r="AB32" s="148"/>
      <c r="AC32" s="148"/>
      <c r="AD32" s="148"/>
      <c r="AF32" s="148"/>
      <c r="AG32" s="148"/>
      <c r="AH32" s="148"/>
      <c r="AI32" s="8"/>
    </row>
    <row r="33" spans="2:61" ht="14.55" customHeight="1" x14ac:dyDescent="0.3">
      <c r="D33" s="150"/>
      <c r="E33" s="150"/>
      <c r="F33" s="146">
        <f>Tables!$F$21</f>
        <v>16.3</v>
      </c>
      <c r="G33" s="146"/>
      <c r="H33" s="11"/>
      <c r="I33" s="11"/>
      <c r="J33" s="2" t="str">
        <f>Tables!$D$21</f>
        <v>(100-yr)</v>
      </c>
      <c r="L33" s="148"/>
      <c r="M33" s="148"/>
      <c r="N33" s="148"/>
      <c r="P33" s="148"/>
      <c r="Q33" s="148"/>
      <c r="R33" s="148"/>
      <c r="T33" s="148"/>
      <c r="U33" s="148"/>
      <c r="V33" s="148"/>
      <c r="X33" s="148"/>
      <c r="Y33" s="148"/>
      <c r="Z33" s="148"/>
      <c r="AB33" s="148"/>
      <c r="AC33" s="148"/>
      <c r="AD33" s="148"/>
      <c r="AF33" s="148"/>
      <c r="AG33" s="148"/>
      <c r="AH33" s="148"/>
      <c r="AI33" s="8"/>
      <c r="AO33" s="26"/>
      <c r="AP33" s="26"/>
    </row>
    <row r="34" spans="2:61" ht="15" customHeight="1" x14ac:dyDescent="0.3">
      <c r="AO34" s="26"/>
      <c r="AP34" s="26"/>
    </row>
    <row r="35" spans="2:61" ht="15" customHeight="1" x14ac:dyDescent="0.3">
      <c r="B35" s="1" t="s">
        <v>9</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F35" s="1"/>
      <c r="AG35" s="1"/>
      <c r="BG35" s="14"/>
      <c r="BH35" s="14"/>
      <c r="BI35" s="14"/>
    </row>
    <row r="36" spans="2:61" s="24" customFormat="1" ht="15.6" hidden="1" customHeight="1" x14ac:dyDescent="0.3">
      <c r="B36" s="29"/>
      <c r="C36" s="29"/>
      <c r="D36" s="29"/>
      <c r="E36" s="29"/>
      <c r="F36" s="29"/>
      <c r="G36" s="29"/>
      <c r="H36" s="29"/>
      <c r="I36" s="29"/>
      <c r="J36" s="29"/>
      <c r="L36" s="25">
        <f>IF(ISBLANK(L37),1,2)</f>
        <v>1</v>
      </c>
      <c r="P36" s="25">
        <f>IF(ISBLANK(P37),1,2)</f>
        <v>1</v>
      </c>
      <c r="T36" s="25">
        <f>IF(ISBLANK(T37),1,2)</f>
        <v>1</v>
      </c>
      <c r="X36" s="25">
        <f>IF(ISBLANK(X37),1,2)</f>
        <v>1</v>
      </c>
      <c r="AB36" s="25">
        <f>IF(ISBLANK(AB37),1,2)</f>
        <v>1</v>
      </c>
      <c r="AF36" s="25">
        <f>IF(ISBLANK(AF37),1,2)</f>
        <v>1</v>
      </c>
      <c r="AL36" s="17"/>
      <c r="AM36" s="17"/>
      <c r="AN36" s="17"/>
    </row>
    <row r="37" spans="2:61" ht="14.55" customHeight="1" x14ac:dyDescent="0.3">
      <c r="J37" s="2" t="s">
        <v>18</v>
      </c>
      <c r="L37" s="118"/>
      <c r="M37" s="118"/>
      <c r="N37" s="118"/>
      <c r="P37" s="118"/>
      <c r="Q37" s="118"/>
      <c r="R37" s="118"/>
      <c r="T37" s="118"/>
      <c r="U37" s="118"/>
      <c r="V37" s="118"/>
      <c r="X37" s="118"/>
      <c r="Y37" s="118"/>
      <c r="Z37" s="118"/>
      <c r="AB37" s="118"/>
      <c r="AC37" s="118"/>
      <c r="AD37" s="118"/>
      <c r="AF37" s="118"/>
      <c r="AG37" s="118"/>
      <c r="AH37" s="118"/>
      <c r="AI37" s="6"/>
    </row>
    <row r="38" spans="2:61" ht="14.55" customHeight="1" x14ac:dyDescent="0.3">
      <c r="H38" s="2" t="s">
        <v>99</v>
      </c>
      <c r="I38" s="151" t="str">
        <f>IF($AO$10=0,"Units?",IF($AO$10=1,"(ac):",IF($AO$10=2,"(sq-ft):","Error")))</f>
        <v>Units?</v>
      </c>
      <c r="J38" s="151"/>
      <c r="L38" s="148"/>
      <c r="M38" s="148"/>
      <c r="N38" s="148"/>
      <c r="P38" s="149"/>
      <c r="Q38" s="149"/>
      <c r="R38" s="149"/>
      <c r="T38" s="148"/>
      <c r="U38" s="148"/>
      <c r="V38" s="148"/>
      <c r="X38" s="148"/>
      <c r="Y38" s="148"/>
      <c r="Z38" s="148"/>
      <c r="AB38" s="148"/>
      <c r="AC38" s="148"/>
      <c r="AD38" s="148"/>
      <c r="AF38" s="148"/>
      <c r="AG38" s="148"/>
      <c r="AH38" s="148"/>
    </row>
    <row r="39" spans="2:61" ht="14.55" customHeight="1" x14ac:dyDescent="0.3">
      <c r="J39" s="2" t="s">
        <v>2</v>
      </c>
      <c r="L39" s="147"/>
      <c r="M39" s="147"/>
      <c r="N39" s="147"/>
      <c r="P39" s="147"/>
      <c r="Q39" s="147"/>
      <c r="R39" s="147"/>
      <c r="T39" s="147"/>
      <c r="U39" s="147"/>
      <c r="V39" s="147"/>
      <c r="X39" s="147"/>
      <c r="Y39" s="147"/>
      <c r="Z39" s="147"/>
      <c r="AB39" s="147"/>
      <c r="AC39" s="147"/>
      <c r="AD39" s="147"/>
      <c r="AF39" s="147"/>
      <c r="AG39" s="147"/>
      <c r="AH39" s="147"/>
    </row>
    <row r="40" spans="2:61" ht="14.55" customHeight="1" x14ac:dyDescent="0.3">
      <c r="J40" s="2" t="s">
        <v>19</v>
      </c>
      <c r="L40" s="147"/>
      <c r="M40" s="147"/>
      <c r="N40" s="147"/>
      <c r="P40" s="147"/>
      <c r="Q40" s="147"/>
      <c r="R40" s="147"/>
      <c r="T40" s="147"/>
      <c r="U40" s="147"/>
      <c r="V40" s="147"/>
      <c r="X40" s="147"/>
      <c r="Y40" s="147"/>
      <c r="Z40" s="147"/>
      <c r="AB40" s="147"/>
      <c r="AC40" s="147"/>
      <c r="AD40" s="147"/>
      <c r="AF40" s="147"/>
      <c r="AG40" s="147"/>
      <c r="AH40" s="147"/>
    </row>
    <row r="41" spans="2:61" ht="14.55" customHeight="1" x14ac:dyDescent="0.3">
      <c r="D41" s="150" t="s">
        <v>83</v>
      </c>
      <c r="E41" s="150"/>
      <c r="F41" s="146">
        <f>Tables!$F$16</f>
        <v>6.02</v>
      </c>
      <c r="G41" s="146"/>
      <c r="H41" s="11"/>
      <c r="I41" s="11"/>
      <c r="J41" s="2" t="str">
        <f>Tables!$D$16</f>
        <v>(2-yr)</v>
      </c>
      <c r="L41" s="149"/>
      <c r="M41" s="149"/>
      <c r="N41" s="149"/>
      <c r="O41" s="3"/>
      <c r="P41" s="149"/>
      <c r="Q41" s="149"/>
      <c r="R41" s="149"/>
      <c r="T41" s="149"/>
      <c r="U41" s="149"/>
      <c r="V41" s="149"/>
      <c r="X41" s="149"/>
      <c r="Y41" s="149"/>
      <c r="Z41" s="149"/>
      <c r="AB41" s="149"/>
      <c r="AC41" s="149"/>
      <c r="AD41" s="149"/>
      <c r="AF41" s="149"/>
      <c r="AG41" s="149"/>
      <c r="AH41" s="149"/>
      <c r="BG41" s="13"/>
      <c r="BH41" s="13"/>
      <c r="BI41" s="13"/>
    </row>
    <row r="42" spans="2:61" ht="14.55" customHeight="1" x14ac:dyDescent="0.3">
      <c r="D42" s="150"/>
      <c r="E42" s="150"/>
      <c r="F42" s="146">
        <f>Tables!$F$17</f>
        <v>7.68</v>
      </c>
      <c r="G42" s="146"/>
      <c r="H42" s="11"/>
      <c r="I42" s="11"/>
      <c r="J42" s="2" t="str">
        <f>Tables!$D$17</f>
        <v>(5-yr)</v>
      </c>
      <c r="L42" s="148"/>
      <c r="M42" s="148"/>
      <c r="N42" s="148"/>
      <c r="O42" s="3"/>
      <c r="P42" s="148"/>
      <c r="Q42" s="148"/>
      <c r="R42" s="148"/>
      <c r="T42" s="148"/>
      <c r="U42" s="148"/>
      <c r="V42" s="148"/>
      <c r="X42" s="148"/>
      <c r="Y42" s="148"/>
      <c r="Z42" s="148"/>
      <c r="AB42" s="148"/>
      <c r="AC42" s="148"/>
      <c r="AD42" s="148"/>
      <c r="AF42" s="148"/>
      <c r="AG42" s="148"/>
      <c r="AH42" s="148"/>
      <c r="BG42" s="14"/>
      <c r="BH42" s="14"/>
      <c r="BI42" s="14"/>
    </row>
    <row r="43" spans="2:61" ht="14.55" customHeight="1" x14ac:dyDescent="0.3">
      <c r="D43" s="150"/>
      <c r="E43" s="150"/>
      <c r="F43" s="146">
        <f>Tables!$F$18</f>
        <v>9.26</v>
      </c>
      <c r="G43" s="146"/>
      <c r="H43" s="11"/>
      <c r="I43" s="11"/>
      <c r="J43" s="2" t="str">
        <f>Tables!$D$18</f>
        <v>(10-yr)</v>
      </c>
      <c r="L43" s="148"/>
      <c r="M43" s="148"/>
      <c r="N43" s="148"/>
      <c r="O43" s="3"/>
      <c r="P43" s="148"/>
      <c r="Q43" s="148"/>
      <c r="R43" s="148"/>
      <c r="T43" s="148"/>
      <c r="U43" s="148"/>
      <c r="V43" s="148"/>
      <c r="X43" s="148"/>
      <c r="Y43" s="148"/>
      <c r="Z43" s="148"/>
      <c r="AB43" s="148"/>
      <c r="AC43" s="148"/>
      <c r="AD43" s="148"/>
      <c r="AF43" s="148"/>
      <c r="AG43" s="148"/>
      <c r="AH43" s="148"/>
    </row>
    <row r="44" spans="2:61" ht="14.55" customHeight="1" x14ac:dyDescent="0.3">
      <c r="D44" s="150"/>
      <c r="E44" s="150"/>
      <c r="F44" s="146">
        <f>Tables!$F$19</f>
        <v>11.7</v>
      </c>
      <c r="G44" s="146"/>
      <c r="H44" s="11"/>
      <c r="I44" s="11"/>
      <c r="J44" s="2" t="str">
        <f>Tables!$D$19</f>
        <v>(25-yr)</v>
      </c>
      <c r="L44" s="148"/>
      <c r="M44" s="148"/>
      <c r="N44" s="148"/>
      <c r="O44" s="3"/>
      <c r="P44" s="148"/>
      <c r="Q44" s="148"/>
      <c r="R44" s="148"/>
      <c r="T44" s="148"/>
      <c r="U44" s="148"/>
      <c r="V44" s="148"/>
      <c r="X44" s="148"/>
      <c r="Y44" s="148"/>
      <c r="Z44" s="148"/>
      <c r="AB44" s="148"/>
      <c r="AC44" s="148"/>
      <c r="AD44" s="148"/>
      <c r="AF44" s="148"/>
      <c r="AG44" s="148"/>
      <c r="AH44" s="148"/>
    </row>
    <row r="45" spans="2:61" ht="14.55" customHeight="1" x14ac:dyDescent="0.3">
      <c r="D45" s="150"/>
      <c r="E45" s="150"/>
      <c r="F45" s="146">
        <f>Tables!$F$20</f>
        <v>13.9</v>
      </c>
      <c r="G45" s="146"/>
      <c r="H45" s="11"/>
      <c r="I45" s="11"/>
      <c r="J45" s="2" t="str">
        <f>Tables!$D$20</f>
        <v>(50-yr)</v>
      </c>
      <c r="L45" s="148"/>
      <c r="M45" s="148"/>
      <c r="N45" s="148"/>
      <c r="O45" s="3"/>
      <c r="P45" s="148"/>
      <c r="Q45" s="148"/>
      <c r="R45" s="148"/>
      <c r="T45" s="148"/>
      <c r="U45" s="148"/>
      <c r="V45" s="148"/>
      <c r="X45" s="148"/>
      <c r="Y45" s="148"/>
      <c r="Z45" s="148"/>
      <c r="AB45" s="148"/>
      <c r="AC45" s="148"/>
      <c r="AD45" s="148"/>
      <c r="AF45" s="148"/>
      <c r="AG45" s="148"/>
      <c r="AH45" s="148"/>
    </row>
    <row r="46" spans="2:61" ht="14.55" customHeight="1" x14ac:dyDescent="0.3">
      <c r="D46" s="150"/>
      <c r="E46" s="150"/>
      <c r="F46" s="146">
        <f>Tables!$F$21</f>
        <v>16.3</v>
      </c>
      <c r="G46" s="146"/>
      <c r="H46" s="11"/>
      <c r="I46" s="11"/>
      <c r="J46" s="2" t="str">
        <f>Tables!$D$21</f>
        <v>(100-yr)</v>
      </c>
      <c r="L46" s="148"/>
      <c r="M46" s="148"/>
      <c r="N46" s="148"/>
      <c r="O46" s="3"/>
      <c r="P46" s="148"/>
      <c r="Q46" s="148"/>
      <c r="R46" s="148"/>
      <c r="T46" s="148"/>
      <c r="U46" s="148"/>
      <c r="V46" s="148"/>
      <c r="X46" s="148"/>
      <c r="Y46" s="148"/>
      <c r="Z46" s="148"/>
      <c r="AB46" s="148"/>
      <c r="AC46" s="148"/>
      <c r="AD46" s="148"/>
      <c r="AF46" s="148"/>
      <c r="AG46" s="148"/>
      <c r="AH46" s="148"/>
    </row>
    <row r="47" spans="2:61" ht="15" customHeight="1" x14ac:dyDescent="0.3">
      <c r="AG47" s="6"/>
      <c r="AH47" s="6"/>
    </row>
    <row r="48" spans="2:61" ht="15" customHeight="1" x14ac:dyDescent="0.3">
      <c r="AG48" s="6"/>
      <c r="AH48" s="6"/>
    </row>
    <row r="49" spans="2:34" ht="15" customHeight="1" x14ac:dyDescent="0.3">
      <c r="AG49" s="6"/>
      <c r="AH49" s="6"/>
    </row>
    <row r="50" spans="2:34" ht="15" customHeight="1" x14ac:dyDescent="0.3"/>
    <row r="51" spans="2:34" ht="15" customHeight="1" x14ac:dyDescent="0.3"/>
    <row r="52" spans="2:34" ht="15" customHeight="1" x14ac:dyDescent="0.3"/>
    <row r="53" spans="2:34" ht="15" customHeight="1" x14ac:dyDescent="0.3">
      <c r="J53" s="2"/>
      <c r="K53" s="27"/>
      <c r="N53" s="27"/>
      <c r="V53" s="2"/>
      <c r="W53" s="27"/>
      <c r="Z53" s="27"/>
    </row>
    <row r="54" spans="2:34" ht="15" customHeight="1" x14ac:dyDescent="0.3">
      <c r="B54" s="139">
        <f>Tables!$F$13</f>
        <v>46266</v>
      </c>
      <c r="C54" s="139"/>
      <c r="D54" s="139"/>
      <c r="E54" s="139"/>
      <c r="F54" s="139"/>
      <c r="G54" s="139"/>
      <c r="H54" s="139"/>
      <c r="I54" s="23"/>
      <c r="T54" s="6" t="s">
        <v>204</v>
      </c>
    </row>
    <row r="55" spans="2:34" ht="15" customHeight="1" x14ac:dyDescent="0.3"/>
    <row r="56" spans="2:34" ht="15" customHeight="1" x14ac:dyDescent="0.3"/>
    <row r="57" spans="2:34" ht="15" customHeight="1" x14ac:dyDescent="0.3"/>
    <row r="58" spans="2:34" ht="15" customHeight="1" x14ac:dyDescent="0.3"/>
    <row r="59" spans="2:34" ht="13.8" hidden="1" x14ac:dyDescent="0.3"/>
  </sheetData>
  <sheetProtection algorithmName="SHA-512" hashValue="lbM2fjWJAQxfDKzDQKQv7B9UU2i46t8bgzRnuW0FZw3A341HE0ehoe87FXiGqk7FbDUjTdtxQad6EbSNtZ0nFg==" saltValue="0LimJKbBYffAWYEhM7GCSw==" spinCount="100000" sheet="1" objects="1" scenarios="1" selectLockedCells="1"/>
  <mergeCells count="148">
    <mergeCell ref="B54:H54"/>
    <mergeCell ref="AC6:AJ6"/>
    <mergeCell ref="AF24:AH24"/>
    <mergeCell ref="AF26:AH26"/>
    <mergeCell ref="AF27:AH27"/>
    <mergeCell ref="AF37:AH37"/>
    <mergeCell ref="AF39:AH39"/>
    <mergeCell ref="AF40:AH40"/>
    <mergeCell ref="P1:AJ4"/>
    <mergeCell ref="L25:N25"/>
    <mergeCell ref="L26:N26"/>
    <mergeCell ref="L27:N27"/>
    <mergeCell ref="L28:N28"/>
    <mergeCell ref="L29:N29"/>
    <mergeCell ref="L30:N30"/>
    <mergeCell ref="L31:N31"/>
    <mergeCell ref="L37:N37"/>
    <mergeCell ref="P37:R37"/>
    <mergeCell ref="L33:N33"/>
    <mergeCell ref="T25:V25"/>
    <mergeCell ref="F33:G33"/>
    <mergeCell ref="D41:E46"/>
    <mergeCell ref="I38:J38"/>
    <mergeCell ref="L38:N38"/>
    <mergeCell ref="T43:V43"/>
    <mergeCell ref="L40:N40"/>
    <mergeCell ref="L41:N41"/>
    <mergeCell ref="L42:N42"/>
    <mergeCell ref="I25:J25"/>
    <mergeCell ref="F42:G42"/>
    <mergeCell ref="F43:G43"/>
    <mergeCell ref="X38:Z38"/>
    <mergeCell ref="P32:R32"/>
    <mergeCell ref="P31:R31"/>
    <mergeCell ref="P25:R25"/>
    <mergeCell ref="X37:Z37"/>
    <mergeCell ref="X33:Z33"/>
    <mergeCell ref="T37:V37"/>
    <mergeCell ref="T38:V38"/>
    <mergeCell ref="T39:V39"/>
    <mergeCell ref="T40:V40"/>
    <mergeCell ref="X39:Z39"/>
    <mergeCell ref="X40:Z40"/>
    <mergeCell ref="X30:Z30"/>
    <mergeCell ref="X31:Z31"/>
    <mergeCell ref="L43:N43"/>
    <mergeCell ref="AF25:AH25"/>
    <mergeCell ref="AF28:AH28"/>
    <mergeCell ref="AF29:AH29"/>
    <mergeCell ref="T29:V29"/>
    <mergeCell ref="T30:V30"/>
    <mergeCell ref="T31:V31"/>
    <mergeCell ref="T32:V32"/>
    <mergeCell ref="X25:Z25"/>
    <mergeCell ref="X26:Z26"/>
    <mergeCell ref="X27:Z27"/>
    <mergeCell ref="X28:Z28"/>
    <mergeCell ref="AB29:AD29"/>
    <mergeCell ref="AB25:AD25"/>
    <mergeCell ref="X32:Z32"/>
    <mergeCell ref="T44:V44"/>
    <mergeCell ref="T45:V45"/>
    <mergeCell ref="L44:N44"/>
    <mergeCell ref="D28:E33"/>
    <mergeCell ref="T24:V24"/>
    <mergeCell ref="F31:G31"/>
    <mergeCell ref="F32:G32"/>
    <mergeCell ref="AB26:AD26"/>
    <mergeCell ref="AB27:AD27"/>
    <mergeCell ref="AB28:AD28"/>
    <mergeCell ref="P26:R26"/>
    <mergeCell ref="P27:R27"/>
    <mergeCell ref="P28:R28"/>
    <mergeCell ref="P29:R29"/>
    <mergeCell ref="P30:R30"/>
    <mergeCell ref="AB30:AD30"/>
    <mergeCell ref="F29:G29"/>
    <mergeCell ref="F30:G30"/>
    <mergeCell ref="L32:N32"/>
    <mergeCell ref="T28:V28"/>
    <mergeCell ref="X29:Z29"/>
    <mergeCell ref="L24:N24"/>
    <mergeCell ref="P24:R24"/>
    <mergeCell ref="AB43:AD43"/>
    <mergeCell ref="L46:N46"/>
    <mergeCell ref="F41:G41"/>
    <mergeCell ref="X42:Z42"/>
    <mergeCell ref="AF46:AH46"/>
    <mergeCell ref="X43:Z43"/>
    <mergeCell ref="X44:Z44"/>
    <mergeCell ref="X45:Z45"/>
    <mergeCell ref="X46:Z46"/>
    <mergeCell ref="T41:V41"/>
    <mergeCell ref="T42:V42"/>
    <mergeCell ref="X41:Z41"/>
    <mergeCell ref="F44:G44"/>
    <mergeCell ref="F45:G45"/>
    <mergeCell ref="F46:G46"/>
    <mergeCell ref="AB41:AD41"/>
    <mergeCell ref="AB42:AD42"/>
    <mergeCell ref="AB44:AD44"/>
    <mergeCell ref="AB45:AD45"/>
    <mergeCell ref="AB46:AD46"/>
    <mergeCell ref="P43:R43"/>
    <mergeCell ref="P44:R44"/>
    <mergeCell ref="P45:R45"/>
    <mergeCell ref="P46:R46"/>
    <mergeCell ref="T46:V46"/>
    <mergeCell ref="AE7:AJ7"/>
    <mergeCell ref="AE8:AJ8"/>
    <mergeCell ref="AF43:AH43"/>
    <mergeCell ref="AF44:AH44"/>
    <mergeCell ref="AF45:AH45"/>
    <mergeCell ref="AF38:AH38"/>
    <mergeCell ref="P38:R38"/>
    <mergeCell ref="AB38:AD38"/>
    <mergeCell ref="P39:R39"/>
    <mergeCell ref="P40:R40"/>
    <mergeCell ref="P41:R41"/>
    <mergeCell ref="P42:R42"/>
    <mergeCell ref="AF33:AH33"/>
    <mergeCell ref="AF32:AH32"/>
    <mergeCell ref="AF30:AH30"/>
    <mergeCell ref="AF31:AH31"/>
    <mergeCell ref="T26:V26"/>
    <mergeCell ref="T27:V27"/>
    <mergeCell ref="AB40:AD40"/>
    <mergeCell ref="AF41:AH41"/>
    <mergeCell ref="AF42:AH42"/>
    <mergeCell ref="E7:X7"/>
    <mergeCell ref="L45:N45"/>
    <mergeCell ref="AB33:AD33"/>
    <mergeCell ref="Q12:V12"/>
    <mergeCell ref="Q14:V14"/>
    <mergeCell ref="Q16:V16"/>
    <mergeCell ref="Q18:V18"/>
    <mergeCell ref="Q20:V20"/>
    <mergeCell ref="E8:X8"/>
    <mergeCell ref="F28:G28"/>
    <mergeCell ref="AB39:AD39"/>
    <mergeCell ref="AB37:AD37"/>
    <mergeCell ref="T33:V33"/>
    <mergeCell ref="P33:R33"/>
    <mergeCell ref="AB31:AD31"/>
    <mergeCell ref="AB32:AD32"/>
    <mergeCell ref="X24:Z24"/>
    <mergeCell ref="AB24:AD24"/>
    <mergeCell ref="L39:N39"/>
  </mergeCells>
  <conditionalFormatting sqref="C12 C14 C16 C18 C20">
    <cfRule type="expression" dxfId="40" priority="1893">
      <formula>$AL$12=1</formula>
    </cfRule>
    <cfRule type="expression" priority="1892" stopIfTrue="1">
      <formula>$AL$12=2</formula>
    </cfRule>
    <cfRule type="expression" dxfId="39" priority="1891">
      <formula>$AQ$7&gt;1</formula>
    </cfRule>
  </conditionalFormatting>
  <conditionalFormatting sqref="E7:E8">
    <cfRule type="expression" dxfId="38" priority="435">
      <formula>ISBLANK(E7)</formula>
    </cfRule>
  </conditionalFormatting>
  <conditionalFormatting sqref="I25 I38">
    <cfRule type="expression" dxfId="37" priority="1861">
      <formula>$AO$10=3</formula>
    </cfRule>
  </conditionalFormatting>
  <conditionalFormatting sqref="I25:J25 I38:J38">
    <cfRule type="expression" dxfId="36" priority="1863">
      <formula>$AL$10=1</formula>
    </cfRule>
  </conditionalFormatting>
  <conditionalFormatting sqref="L24">
    <cfRule type="cellIs" priority="19" operator="greaterThan">
      <formula>0</formula>
    </cfRule>
    <cfRule type="expression" dxfId="35" priority="20">
      <formula>ISBLANK($L24)</formula>
    </cfRule>
  </conditionalFormatting>
  <conditionalFormatting sqref="L25:L33">
    <cfRule type="cellIs" dxfId="34" priority="11" operator="greaterThan">
      <formula>0</formula>
    </cfRule>
    <cfRule type="expression" dxfId="33" priority="12">
      <formula>$L$23=2</formula>
    </cfRule>
  </conditionalFormatting>
  <conditionalFormatting sqref="L37">
    <cfRule type="cellIs" priority="454" operator="greaterThan">
      <formula>0</formula>
    </cfRule>
    <cfRule type="expression" dxfId="32" priority="455">
      <formula>ISBLANK($L$37)</formula>
    </cfRule>
  </conditionalFormatting>
  <conditionalFormatting sqref="L38:L46">
    <cfRule type="expression" dxfId="31" priority="467">
      <formula>$L$36=2</formula>
    </cfRule>
    <cfRule type="cellIs" dxfId="30" priority="466" operator="greaterThan">
      <formula>0</formula>
    </cfRule>
  </conditionalFormatting>
  <conditionalFormatting sqref="L25:N25 P25:R25 T25:V25 X25:Z25 AB25:AD25 AF25:AH25 L38:N38 P38:R38 T38:V38 X38:Z38 AB38:AD38 AF38:AH38">
    <cfRule type="expression" dxfId="29" priority="1866">
      <formula>$AO$10=1</formula>
    </cfRule>
    <cfRule type="expression" dxfId="28" priority="1865">
      <formula>$AO$10=2</formula>
    </cfRule>
  </conditionalFormatting>
  <conditionalFormatting sqref="P25:P33">
    <cfRule type="cellIs" dxfId="27" priority="458" operator="greaterThan">
      <formula>0</formula>
    </cfRule>
    <cfRule type="expression" dxfId="26" priority="459">
      <formula>$P$23=2</formula>
    </cfRule>
  </conditionalFormatting>
  <conditionalFormatting sqref="P38:P46">
    <cfRule type="expression" dxfId="25" priority="469">
      <formula>$P$36=2</formula>
    </cfRule>
    <cfRule type="cellIs" dxfId="24" priority="468" operator="greaterThan">
      <formula>0</formula>
    </cfRule>
  </conditionalFormatting>
  <conditionalFormatting sqref="P1:AJ4">
    <cfRule type="expression" dxfId="23" priority="9">
      <formula>$AO$7=0</formula>
    </cfRule>
  </conditionalFormatting>
  <conditionalFormatting sqref="Q12:V12">
    <cfRule type="cellIs" priority="3" stopIfTrue="1" operator="greaterThan">
      <formula>0</formula>
    </cfRule>
    <cfRule type="expression" dxfId="22" priority="4">
      <formula>$AM12=2</formula>
    </cfRule>
  </conditionalFormatting>
  <conditionalFormatting sqref="Q14:V14 Q16:V16 Q18:V18 Q20:V20">
    <cfRule type="expression" dxfId="21" priority="2">
      <formula>$AM14=2</formula>
    </cfRule>
    <cfRule type="cellIs" priority="1" stopIfTrue="1" operator="greaterThan">
      <formula>0</formula>
    </cfRule>
  </conditionalFormatting>
  <conditionalFormatting sqref="T25:T33">
    <cfRule type="expression" dxfId="20" priority="461">
      <formula>$T$23=2</formula>
    </cfRule>
    <cfRule type="cellIs" dxfId="19" priority="460" operator="greaterThan">
      <formula>0</formula>
    </cfRule>
  </conditionalFormatting>
  <conditionalFormatting sqref="T38:T46">
    <cfRule type="cellIs" dxfId="18" priority="470" operator="greaterThan">
      <formula>0</formula>
    </cfRule>
    <cfRule type="expression" dxfId="17" priority="471">
      <formula>$T$36=2</formula>
    </cfRule>
  </conditionalFormatting>
  <conditionalFormatting sqref="X25:X33">
    <cfRule type="cellIs" dxfId="16" priority="462" operator="greaterThan">
      <formula>0</formula>
    </cfRule>
    <cfRule type="expression" dxfId="15" priority="463">
      <formula>$X$23=2</formula>
    </cfRule>
  </conditionalFormatting>
  <conditionalFormatting sqref="X38:X46">
    <cfRule type="cellIs" dxfId="14" priority="472" operator="greaterThan">
      <formula>0</formula>
    </cfRule>
    <cfRule type="expression" dxfId="13" priority="473">
      <formula>$X$36=2</formula>
    </cfRule>
  </conditionalFormatting>
  <conditionalFormatting sqref="Z22 AC22 AF22 AI22">
    <cfRule type="expression" dxfId="12" priority="1367">
      <formula>$AL22=1</formula>
    </cfRule>
    <cfRule type="expression" priority="1366" stopIfTrue="1">
      <formula>$AL22=2</formula>
    </cfRule>
  </conditionalFormatting>
  <conditionalFormatting sqref="AB25:AB33">
    <cfRule type="expression" dxfId="11" priority="465">
      <formula>$AB$23=2</formula>
    </cfRule>
    <cfRule type="cellIs" dxfId="10" priority="464" operator="greaterThan">
      <formula>0</formula>
    </cfRule>
  </conditionalFormatting>
  <conditionalFormatting sqref="AB38:AB46">
    <cfRule type="cellIs" dxfId="9" priority="474" operator="greaterThan">
      <formula>0</formula>
    </cfRule>
    <cfRule type="expression" dxfId="8" priority="475">
      <formula>$AB$36=2</formula>
    </cfRule>
  </conditionalFormatting>
  <conditionalFormatting sqref="AC6">
    <cfRule type="cellIs" dxfId="7" priority="73" operator="equal">
      <formula>0</formula>
    </cfRule>
  </conditionalFormatting>
  <conditionalFormatting sqref="AE10 AH10">
    <cfRule type="expression" dxfId="6" priority="1889">
      <formula>$AO$10=3</formula>
    </cfRule>
    <cfRule type="expression" dxfId="5" priority="1890">
      <formula>$AL$10=1</formula>
    </cfRule>
  </conditionalFormatting>
  <conditionalFormatting sqref="AE7:AJ8">
    <cfRule type="expression" dxfId="4" priority="268">
      <formula>ISBLANK(AE7)</formula>
    </cfRule>
  </conditionalFormatting>
  <conditionalFormatting sqref="AF25:AF33">
    <cfRule type="cellIs" dxfId="3" priority="24" operator="greaterThan">
      <formula>0</formula>
    </cfRule>
    <cfRule type="expression" dxfId="2" priority="25">
      <formula>$AF$23=2</formula>
    </cfRule>
  </conditionalFormatting>
  <conditionalFormatting sqref="AF38:AF46">
    <cfRule type="expression" dxfId="1" priority="27">
      <formula>$AF$36=2</formula>
    </cfRule>
    <cfRule type="cellIs" dxfId="0" priority="26" operator="greaterThan">
      <formula>0</formula>
    </cfRule>
  </conditionalFormatting>
  <pageMargins left="0.2" right="0.2" top="0.5" bottom="0.25" header="0.3" footer="0.3"/>
  <pageSetup fitToWidth="0" orientation="portrait" r:id="rId1"/>
  <colBreaks count="1" manualBreakCount="1">
    <brk id="43" max="1048575" man="1"/>
  </colBreaks>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306CA1BD-32A3-469F-958A-33B9DA150433}">
          <x14:formula1>
            <xm:f>Tables!$B$8</xm:f>
          </x14:formula1>
          <xm:sqref>E7:X8 C16 C12 AC22 C18 C14 AE10 AH10 AF37:AH46 AF22 AI22 Z22 L25:N33 C20 P24:R33 T24:V33 X24:Z33 AB24:AD33 AB37:AD46 AE7:AJ8 L37:N46 P37:R46 T37:V46 X37:Z46 AF24:AH33 AC6 Q12:V12 Q18:V18 Q14:V14 Q16:V16 Q20:V20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License</vt:lpstr>
      <vt:lpstr>Form 2.2 - Design Attachment</vt:lpstr>
      <vt:lpstr>Form 2.3 - Add Basins Page 1 </vt:lpstr>
      <vt:lpstr>Material</vt:lpstr>
      <vt:lpstr>'Form 2.2 - Design Attachment'!Print_Area</vt:lpstr>
      <vt:lpstr>'Form 2.3 - Add Basins Page 1 '!Print_Area</vt:lpstr>
      <vt:lpstr>'Form 2.2 - Design Attachment'!Print_Titles</vt:lpstr>
      <vt:lpstr>'Form 2.3 - Add Basins Page 1 '!Print_Titles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2026-09-05T00:37:58Z</cp:lastPrinted>
  <dcterms:created xsi:type="dcterms:W3CDTF">2021-11-21T16:55:43Z</dcterms:created>
  <dcterms:modified xsi:type="dcterms:W3CDTF">2026-09-06T20:35:09Z</dcterms:modified>
</cp:coreProperties>
</file>