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Baldwin County\2026\02 - Post Const Forms\2026-09-01 Published\"/>
    </mc:Choice>
  </mc:AlternateContent>
  <xr:revisionPtr revIDLastSave="0" documentId="13_ncr:1_{40B2C774-B244-4B70-9F66-2EDF8B5B91B7}" xr6:coauthVersionLast="47" xr6:coauthVersionMax="47" xr10:uidLastSave="{00000000-0000-0000-0000-000000000000}"/>
  <workbookProtection workbookAlgorithmName="SHA-512" workbookHashValue="5csoDxPpzvrs+e3uHpEtC2CZr4Wo6HYEjddI7jACMUTXvyPGQFgwlID93c08H8hxs9p5tgBlQAxna2bWi8WgdQ==" workbookSaltValue="Xu95LSdgB+EPO1NslPugpw==" workbookSpinCount="100000" lockStructure="1"/>
  <bookViews>
    <workbookView xWindow="-14685" yWindow="-16320" windowWidth="29040" windowHeight="15720" tabRatio="703" firstSheet="1" activeTab="1" xr2:uid="{994EC860-6224-46C4-B304-9868EEFCD4CE}"/>
  </bookViews>
  <sheets>
    <sheet name="Tables" sheetId="2" state="veryHidden" r:id="rId1"/>
    <sheet name="License" sheetId="7" r:id="rId2"/>
    <sheet name="General Instructions" sheetId="9" r:id="rId3"/>
    <sheet name="Form 2G - Design" sheetId="5" r:id="rId4"/>
    <sheet name="Form 3G - As-built" sheetId="3" r:id="rId5"/>
  </sheets>
  <definedNames>
    <definedName name="_Hlk68675965" localSheetId="4">'Form 3G - As-built'!#REF!</definedName>
    <definedName name="Logo">INDEX(Tables!$F$40:$F$46,MATCH(Tables!$F$14,Tables!$E$40:$E$46,0))</definedName>
    <definedName name="Material">Tables!$D$2:$D$10</definedName>
    <definedName name="_xlnm.Print_Area" localSheetId="3">'Form 2G - Design'!$A$1:$AK$103</definedName>
    <definedName name="_xlnm.Print_Area" localSheetId="4">'Form 3G - As-built'!$A$1:$AL$147</definedName>
    <definedName name="_xlnm.Print_Titles" localSheetId="3">'Form 2G - Design'!$1:$4</definedName>
    <definedName name="_xlnm.Print_Titles" localSheetId="4">'Form 3G - As-built'!$1:$4</definedName>
    <definedName name="Shape">Tables!$F$2:$F$11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1" i="3" l="1"/>
  <c r="M91" i="5"/>
  <c r="AL22" i="5"/>
  <c r="AQ25" i="5"/>
  <c r="AQ26" i="5" s="1"/>
  <c r="AQ24" i="5"/>
  <c r="X30" i="5" s="1"/>
  <c r="J13" i="2"/>
  <c r="P22" i="2"/>
  <c r="P19" i="2"/>
  <c r="J12" i="2"/>
  <c r="J11" i="2"/>
  <c r="J10" i="2"/>
  <c r="J7" i="2"/>
  <c r="AN30" i="3" l="1"/>
  <c r="AM30" i="3"/>
  <c r="M114" i="3" s="1"/>
  <c r="AP22" i="3"/>
  <c r="AP23" i="3" s="1"/>
  <c r="M115" i="3" s="1"/>
  <c r="AP19" i="3"/>
  <c r="AP18" i="3"/>
  <c r="AP15" i="3"/>
  <c r="M110" i="3"/>
  <c r="M108" i="3"/>
  <c r="M89" i="5"/>
  <c r="M87" i="5"/>
  <c r="M86" i="5"/>
  <c r="AP21" i="3"/>
  <c r="M116" i="3" s="1"/>
  <c r="AP20" i="3"/>
  <c r="M113" i="3" s="1"/>
  <c r="AP17" i="3"/>
  <c r="M112" i="3" s="1"/>
  <c r="AP16" i="3"/>
  <c r="AP14" i="3"/>
  <c r="M109" i="3" s="1"/>
  <c r="AP13" i="3"/>
  <c r="O34" i="3"/>
  <c r="F34" i="3"/>
  <c r="Q30" i="3"/>
  <c r="N30" i="3"/>
  <c r="F30" i="3"/>
  <c r="O28" i="3"/>
  <c r="F28" i="3"/>
  <c r="O24" i="3"/>
  <c r="F24" i="3"/>
  <c r="O22" i="3"/>
  <c r="F22" i="3"/>
  <c r="O21" i="3"/>
  <c r="F21" i="3"/>
  <c r="F17" i="3"/>
  <c r="O16" i="3"/>
  <c r="F16" i="3"/>
  <c r="O15" i="3"/>
  <c r="F15" i="3"/>
  <c r="O14" i="3"/>
  <c r="F14" i="3"/>
  <c r="AP58" i="5" l="1"/>
  <c r="AP55" i="5"/>
  <c r="M95" i="5" s="1"/>
  <c r="AP54" i="5"/>
  <c r="M92" i="5" s="1"/>
  <c r="AL89" i="5"/>
  <c r="AL87" i="5"/>
  <c r="AP50" i="5"/>
  <c r="AP48" i="5"/>
  <c r="AL91" i="5" s="1"/>
  <c r="AP44" i="5"/>
  <c r="AP42" i="5"/>
  <c r="AM50" i="5"/>
  <c r="AM48" i="5"/>
  <c r="AM42" i="5"/>
  <c r="AM36" i="5"/>
  <c r="M88" i="5" l="1"/>
  <c r="AL88" i="5" s="1"/>
  <c r="M94" i="5"/>
  <c r="AL94" i="5" s="1"/>
  <c r="M90" i="5"/>
  <c r="AL90" i="5" s="1"/>
  <c r="AL92" i="5"/>
  <c r="AL95" i="5"/>
  <c r="AL48" i="5"/>
  <c r="AN30" i="5"/>
  <c r="AM30" i="5"/>
  <c r="AN32" i="5"/>
  <c r="AM32" i="5"/>
  <c r="AL32" i="5"/>
  <c r="AL30" i="5"/>
  <c r="AL14" i="5"/>
  <c r="AM28" i="5"/>
  <c r="AL28" i="5"/>
  <c r="AL42" i="5"/>
  <c r="AL50" i="5"/>
  <c r="AO30" i="5" l="1"/>
  <c r="M93" i="5"/>
  <c r="AL93" i="5" s="1"/>
  <c r="AD6" i="3"/>
  <c r="B6" i="9" l="1"/>
  <c r="B34" i="9" s="1"/>
  <c r="B35" i="9" s="1"/>
  <c r="F39" i="2"/>
  <c r="F32" i="7" l="1"/>
  <c r="F7" i="7"/>
  <c r="F13" i="7"/>
  <c r="F29" i="7"/>
  <c r="F38" i="2"/>
  <c r="B2" i="2"/>
  <c r="B6" i="2" s="1"/>
  <c r="O2" i="7" s="1"/>
  <c r="A2" i="7"/>
  <c r="B7" i="2"/>
  <c r="O1" i="7"/>
  <c r="E28" i="2"/>
  <c r="M22" i="2"/>
  <c r="M19" i="2"/>
  <c r="F37" i="2"/>
  <c r="F33" i="2"/>
  <c r="F32" i="2"/>
  <c r="F30" i="2"/>
  <c r="F29" i="2"/>
  <c r="F28" i="2"/>
  <c r="F27" i="2"/>
  <c r="F26" i="2"/>
  <c r="F25" i="2"/>
  <c r="F24" i="2"/>
  <c r="F23" i="2"/>
  <c r="AT14" i="5" s="1"/>
  <c r="F22" i="2"/>
  <c r="F21" i="2"/>
  <c r="F20" i="2"/>
  <c r="F19" i="2"/>
  <c r="F18" i="2"/>
  <c r="F17" i="2"/>
  <c r="F16" i="2"/>
  <c r="F15" i="2"/>
  <c r="AM114" i="3"/>
  <c r="F22" i="7" l="1"/>
  <c r="AT30" i="3"/>
  <c r="AM113" i="3"/>
  <c r="B8" i="2"/>
  <c r="F3" i="7" l="1"/>
  <c r="A3" i="7" s="1"/>
  <c r="S22" i="2" l="1"/>
  <c r="R22" i="2"/>
  <c r="Q22" i="2"/>
  <c r="O22" i="2"/>
  <c r="N22" i="2"/>
  <c r="Q19" i="2"/>
  <c r="R19" i="2"/>
  <c r="S19" i="2"/>
  <c r="O19" i="2"/>
  <c r="N19" i="2"/>
  <c r="F34" i="2" l="1"/>
  <c r="F31" i="2"/>
  <c r="AL86" i="5" l="1"/>
  <c r="AM41" i="3" l="1"/>
  <c r="AM40" i="3"/>
  <c r="M118" i="3" l="1"/>
  <c r="AM118" i="3" s="1"/>
  <c r="AM111" i="3"/>
  <c r="AL58" i="5"/>
  <c r="AL56" i="5"/>
  <c r="M97" i="5" l="1"/>
  <c r="AL97" i="5" s="1"/>
  <c r="K2" i="2" l="1"/>
  <c r="K3" i="2" s="1"/>
  <c r="K4" i="2" s="1"/>
  <c r="K5" i="2" s="1"/>
  <c r="K6" i="2" s="1"/>
  <c r="K7" i="2" s="1"/>
  <c r="K8" i="2" s="1"/>
  <c r="K9" i="2" s="1"/>
  <c r="K10" i="2" s="1"/>
  <c r="K11" i="2" s="1"/>
  <c r="K12" i="2" s="1"/>
  <c r="K13" i="2" s="1"/>
  <c r="K14" i="2" s="1"/>
  <c r="K15" i="2" s="1"/>
  <c r="K16" i="2" s="1"/>
  <c r="K17" i="2" s="1"/>
  <c r="K18" i="2" s="1"/>
  <c r="K19" i="2" s="1"/>
  <c r="K20" i="2" s="1"/>
  <c r="K21" i="2" s="1"/>
  <c r="K22" i="2" s="1"/>
  <c r="K23" i="2" s="1"/>
  <c r="F35" i="2" l="1"/>
  <c r="F36" i="2" l="1"/>
  <c r="AP71" i="3" l="1"/>
  <c r="AP85" i="3"/>
  <c r="AP83" i="3"/>
  <c r="AP81" i="3"/>
  <c r="AP79" i="3"/>
  <c r="AP77" i="3"/>
  <c r="AP75" i="3"/>
  <c r="AP73" i="3"/>
  <c r="AP69" i="3" l="1"/>
  <c r="AF106" i="3"/>
  <c r="AM34" i="5" l="1"/>
  <c r="AL34" i="5" l="1"/>
  <c r="Q24" i="5" l="1"/>
  <c r="U14" i="5" l="1"/>
  <c r="U24" i="5"/>
  <c r="U22" i="5"/>
  <c r="U20" i="5"/>
  <c r="U18" i="5"/>
  <c r="U16" i="5"/>
  <c r="AS12" i="3" l="1"/>
  <c r="AS19" i="3" s="1"/>
  <c r="AS27" i="3" s="1"/>
  <c r="AS30" i="3" s="1"/>
  <c r="AO85" i="3" l="1"/>
  <c r="AN85" i="3"/>
  <c r="AM85" i="3"/>
  <c r="AO83" i="3"/>
  <c r="AN83" i="3"/>
  <c r="AM83" i="3"/>
  <c r="AO81" i="3"/>
  <c r="AN81" i="3"/>
  <c r="AM81" i="3"/>
  <c r="AO79" i="3" l="1"/>
  <c r="AN79" i="3"/>
  <c r="AM79" i="3"/>
  <c r="AO77" i="3"/>
  <c r="AN77" i="3"/>
  <c r="AM77" i="3"/>
  <c r="AO75" i="3"/>
  <c r="AN75" i="3"/>
  <c r="AM75" i="3"/>
  <c r="AO73" i="3"/>
  <c r="AN73" i="3"/>
  <c r="AM73" i="3"/>
  <c r="AO71" i="3"/>
  <c r="AN71" i="3"/>
  <c r="AM71" i="3"/>
  <c r="B147" i="3"/>
  <c r="B103" i="5"/>
  <c r="AM69" i="3" l="1"/>
  <c r="M119" i="3" s="1"/>
  <c r="AM119" i="3" l="1"/>
  <c r="Q16" i="5"/>
  <c r="Q18" i="5"/>
  <c r="Q14" i="5"/>
  <c r="Q20" i="5"/>
  <c r="Q22" i="5"/>
  <c r="AM109" i="3" l="1"/>
  <c r="AG103" i="3" l="1"/>
  <c r="O38" i="3"/>
  <c r="E38" i="3"/>
  <c r="AM115" i="3" l="1"/>
  <c r="AG52" i="3"/>
  <c r="Y10" i="3" l="1"/>
  <c r="AV18" i="3"/>
  <c r="E7" i="3" l="1"/>
  <c r="D103" i="3" s="1"/>
  <c r="B102" i="3"/>
  <c r="B51" i="3"/>
  <c r="B59" i="5"/>
  <c r="AM61" i="3"/>
  <c r="G15" i="2" l="1"/>
  <c r="AM38" i="3"/>
  <c r="AM37" i="3"/>
  <c r="AM39" i="3" l="1"/>
  <c r="M117" i="3" s="1"/>
  <c r="AL57" i="5"/>
  <c r="AL55" i="5"/>
  <c r="AM110" i="3" l="1"/>
  <c r="AL54" i="5"/>
  <c r="AF8" i="3"/>
  <c r="AG104" i="3" s="1"/>
  <c r="E8" i="3"/>
  <c r="AL36" i="5"/>
  <c r="AE61" i="5"/>
  <c r="AE60" i="5"/>
  <c r="D60" i="5"/>
  <c r="BL1" i="5"/>
  <c r="AN61" i="3"/>
  <c r="M96" i="5" l="1"/>
  <c r="AL96" i="5" s="1"/>
  <c r="AL84" i="5" s="1"/>
  <c r="AM108" i="3"/>
  <c r="AM117" i="3" l="1"/>
  <c r="AM116" i="3" l="1"/>
  <c r="AG53" i="3"/>
  <c r="AM112" i="3" l="1"/>
  <c r="D52" i="3"/>
  <c r="AM6" i="3"/>
  <c r="AM10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C6" authorId="0" shapeId="0" xr:uid="{FBC0EBD0-FC7F-4740-9AEE-17C03162DB70}">
      <text>
        <r>
          <rPr>
            <b/>
            <sz val="9"/>
            <color indexed="81"/>
            <rFont val="Tahoma"/>
            <family val="2"/>
          </rPr>
          <t xml:space="preserve">Note:  </t>
        </r>
        <r>
          <rPr>
            <sz val="9"/>
            <color indexed="81"/>
            <rFont val="Tahoma"/>
            <family val="2"/>
          </rPr>
          <t xml:space="preserve">Enter parcel number with no spaces as shown below:
1234567891234.560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<sst xmlns="http://schemas.openxmlformats.org/spreadsheetml/2006/main" count="704" uniqueCount="375">
  <si>
    <t>Development Information</t>
  </si>
  <si>
    <t>Name:</t>
  </si>
  <si>
    <t>(WQ)</t>
  </si>
  <si>
    <t>(2-yr)</t>
  </si>
  <si>
    <t>(5-yr)</t>
  </si>
  <si>
    <t>(10-yr)</t>
  </si>
  <si>
    <t>(25-yr)</t>
  </si>
  <si>
    <t>(100-yr)</t>
  </si>
  <si>
    <t>Professional Engineer Certification</t>
  </si>
  <si>
    <t>Date:</t>
  </si>
  <si>
    <t>Comments:</t>
  </si>
  <si>
    <t>Material</t>
  </si>
  <si>
    <t>Concrete</t>
  </si>
  <si>
    <t>Other</t>
  </si>
  <si>
    <t>Select</t>
  </si>
  <si>
    <t>Shape</t>
  </si>
  <si>
    <t>BMP ID:</t>
  </si>
  <si>
    <t>Width:</t>
  </si>
  <si>
    <t>in</t>
  </si>
  <si>
    <t>ft</t>
  </si>
  <si>
    <t>Latitude:</t>
  </si>
  <si>
    <t>Longitude:</t>
  </si>
  <si>
    <t>Form 3A - Detention Pond
As-Built Certification Form</t>
  </si>
  <si>
    <t>Design</t>
  </si>
  <si>
    <t>As-Built</t>
  </si>
  <si>
    <t>Type</t>
  </si>
  <si>
    <t>Enter data as applicable for the proposed design.</t>
  </si>
  <si>
    <t>General Instructions</t>
  </si>
  <si>
    <t>Field Types</t>
  </si>
  <si>
    <t>Supplemental Instructions</t>
  </si>
  <si>
    <t>Use the drop down list to select a shape.</t>
  </si>
  <si>
    <t>Riprap</t>
  </si>
  <si>
    <t>Geotextile</t>
  </si>
  <si>
    <t>Design Response</t>
  </si>
  <si>
    <t>Automated Review Checks</t>
  </si>
  <si>
    <t>Form Section</t>
  </si>
  <si>
    <t>Comments</t>
  </si>
  <si>
    <t>Photographs, at a minimum, shall include the following:</t>
  </si>
  <si>
    <t>The developer / owner shall retain the services of a professional land surveyor to:</t>
  </si>
  <si>
    <t>a.</t>
  </si>
  <si>
    <t>b.</t>
  </si>
  <si>
    <t>The developer shall retain the services of a professional engineer to:</t>
  </si>
  <si>
    <t>Photographs</t>
  </si>
  <si>
    <t>Storm sewers showing pipes, inlets, junction boxes, outlets, outlet protection, and invert elevations</t>
  </si>
  <si>
    <t>Prior to approval of the Final Plat.</t>
  </si>
  <si>
    <t>Provide ALL required attachments:</t>
  </si>
  <si>
    <t>The issuance of a Certificate of Occupancy; and/or,</t>
  </si>
  <si>
    <t>e.</t>
  </si>
  <si>
    <t>c.</t>
  </si>
  <si>
    <t>d.</t>
  </si>
  <si>
    <t>•</t>
  </si>
  <si>
    <t>Latitude and/or Longitude not provided</t>
  </si>
  <si>
    <t xml:space="preserve">This is a calculated field.  Once the required information is entered, the orange highlight will be removed. </t>
  </si>
  <si>
    <t>Use the drop down list to select a material.</t>
  </si>
  <si>
    <t xml:space="preserve"> As-built Survey</t>
  </si>
  <si>
    <t xml:space="preserve"> As-built H&amp;H Calculations</t>
  </si>
  <si>
    <t xml:space="preserve"> O&amp;M Agreement</t>
  </si>
  <si>
    <t>Attachments:</t>
  </si>
  <si>
    <t xml:space="preserve"> Yes</t>
  </si>
  <si>
    <t xml:space="preserve"> No</t>
  </si>
  <si>
    <t xml:space="preserve"> Design Drawings</t>
  </si>
  <si>
    <t xml:space="preserve"> H&amp;H Calculations</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</si>
  <si>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</si>
  <si>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</si>
  <si>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</si>
  <si>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</si>
  <si>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</si>
  <si>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</si>
  <si>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</si>
  <si>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</si>
  <si>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</si>
  <si>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</si>
  <si>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 xml:space="preserve">Detail Attached: </t>
  </si>
  <si>
    <t>No</t>
  </si>
  <si>
    <t>Lat</t>
  </si>
  <si>
    <t>Long</t>
  </si>
  <si>
    <t>Lat &amp; Long</t>
  </si>
  <si>
    <t>Montgomery</t>
  </si>
  <si>
    <t>Hoover</t>
  </si>
  <si>
    <t>Prattville</t>
  </si>
  <si>
    <t>Mobile</t>
  </si>
  <si>
    <t xml:space="preserve">Select City: </t>
  </si>
  <si>
    <t xml:space="preserve"> Photographs</t>
  </si>
  <si>
    <t xml:space="preserve">Date: </t>
  </si>
  <si>
    <t xml:space="preserve">BMP ID: </t>
  </si>
  <si>
    <t xml:space="preserve">Latitude: </t>
  </si>
  <si>
    <t xml:space="preserve">Longitude: </t>
  </si>
  <si>
    <t>Yes</t>
  </si>
  <si>
    <t xml:space="preserve">Company: </t>
  </si>
  <si>
    <t xml:space="preserve">Signature: </t>
  </si>
  <si>
    <t>Select either "Yes" or "No" by placing an "X" in the appropriate box.  Once an "X" is entered, the green highlight will be removed.</t>
  </si>
  <si>
    <t>The Supplemental Instructions provide additional guidance and design standards.</t>
  </si>
  <si>
    <t>Once the Design, As-built, or Inspection Forms are completed, there should be no green, yellow, or orange highlighted fields.</t>
  </si>
  <si>
    <t>Automated Review Checks:  Once information and data are entered into the form, the form will check the information entered and identify any potential issues or concerns.  Prior to printing the form, all automated comments shall be resolved.</t>
  </si>
  <si>
    <t>Round</t>
  </si>
  <si>
    <t>Rectangle</t>
  </si>
  <si>
    <t>Square</t>
  </si>
  <si>
    <t>Trapezoid</t>
  </si>
  <si>
    <t>Jefferson</t>
  </si>
  <si>
    <t>Velocity:</t>
  </si>
  <si>
    <t>City</t>
  </si>
  <si>
    <t>County</t>
  </si>
  <si>
    <t>Type:</t>
  </si>
  <si>
    <t>1 July 2018</t>
  </si>
  <si>
    <t>1 October 2015</t>
  </si>
  <si>
    <t>1 October 2020</t>
  </si>
  <si>
    <t>1 February 2020</t>
  </si>
  <si>
    <t>Effective Date:</t>
  </si>
  <si>
    <t>Entity Type:</t>
  </si>
  <si>
    <t>Maintenance Agreement:</t>
  </si>
  <si>
    <t xml:space="preserve"> Covenant</t>
  </si>
  <si>
    <t xml:space="preserve"> As-Built Survey Drawing(s)</t>
  </si>
  <si>
    <t>Home Owners Association (HOA) Information</t>
  </si>
  <si>
    <t>Printing the form may require some adjustments to the print settings for the printer being used.</t>
  </si>
  <si>
    <t>Current Logo</t>
  </si>
  <si>
    <t>If a field is highlighted yellow after a number is entered, the yellow highlight may indicate an error and/or concern.  Once the error and/or concern is resolved, the yellow highlight will be removed.  All yellow highlighted cells shall be resolved or an explanation provided prior to completing the form.</t>
  </si>
  <si>
    <t xml:space="preserve">City: </t>
  </si>
  <si>
    <t>This is a required field.  Once a number or text is entered, the green highlight will be removed.</t>
  </si>
  <si>
    <t xml:space="preserve">Material: </t>
  </si>
  <si>
    <t xml:space="preserve">Diameter: </t>
  </si>
  <si>
    <t xml:space="preserve">Width: </t>
  </si>
  <si>
    <t xml:space="preserve">Shape: </t>
  </si>
  <si>
    <t xml:space="preserve">Length: </t>
  </si>
  <si>
    <t xml:space="preserve">Select: </t>
  </si>
  <si>
    <t xml:space="preserve">Orifice: </t>
  </si>
  <si>
    <t xml:space="preserve">None: </t>
  </si>
  <si>
    <t xml:space="preserve">Seal: </t>
  </si>
  <si>
    <t>Comments?</t>
  </si>
  <si>
    <t>Permit Type:</t>
  </si>
  <si>
    <t>Max Velocity:</t>
  </si>
  <si>
    <t>Max Velocity</t>
  </si>
  <si>
    <t>Lookup Table</t>
  </si>
  <si>
    <t>Engineering or Building No.</t>
  </si>
  <si>
    <t xml:space="preserve">Weir: </t>
  </si>
  <si>
    <t>Use the drop down list to select an orifice or weir.</t>
  </si>
  <si>
    <t>Complete Design Form with the required design information.  Once the Design Form is completed, most of the Design section of the As-built Form will be prepopulated.</t>
  </si>
  <si>
    <t>Date</t>
  </si>
  <si>
    <t>No. Taken</t>
  </si>
  <si>
    <t xml:space="preserve">Contact Name: </t>
  </si>
  <si>
    <t>This is a required field.  Place an "X" in the appropriate box and the green highlight will be removed.  In some cases, the selection is optional.  Once an option is completed, additional fields may be highlighted green and in some fields the green highlight will be removed.</t>
  </si>
  <si>
    <t>ENG No.</t>
  </si>
  <si>
    <t>Inspe Report Due:</t>
  </si>
  <si>
    <t>30 Septbember</t>
  </si>
  <si>
    <t>1 September</t>
  </si>
  <si>
    <t>Site features to include but not limited to roads, rights-of-way, property lines, driveways, buildings, parking</t>
  </si>
  <si>
    <t>areas, fences, retaining walls, dumpster pads, etc.</t>
  </si>
  <si>
    <t>Arch</t>
  </si>
  <si>
    <t>(50-yr)</t>
  </si>
  <si>
    <t>Storms:</t>
  </si>
  <si>
    <t>Insp Report Due:</t>
  </si>
  <si>
    <t>2, 5, 10, 25, 50, and 100</t>
  </si>
  <si>
    <t>%</t>
  </si>
  <si>
    <t xml:space="preserve">Hydrologic Soil Group: </t>
  </si>
  <si>
    <t xml:space="preserve"> A</t>
  </si>
  <si>
    <t xml:space="preserve"> B</t>
  </si>
  <si>
    <t xml:space="preserve"> C</t>
  </si>
  <si>
    <t xml:space="preserve"> D</t>
  </si>
  <si>
    <t>Known Flooding Req:</t>
  </si>
  <si>
    <t>No. Storms:</t>
  </si>
  <si>
    <t xml:space="preserve">Design Form Date: </t>
  </si>
  <si>
    <t>Caption, date, and/or description on all photographs?</t>
  </si>
  <si>
    <t>31 December</t>
  </si>
  <si>
    <t>Caption identifying the date, location, and description of the photograph</t>
  </si>
  <si>
    <t>All required photographs are not provided</t>
  </si>
  <si>
    <t>Known Flooding Storm:</t>
  </si>
  <si>
    <t>Adj Property Req:</t>
  </si>
  <si>
    <t>Adj Property Storm:</t>
  </si>
  <si>
    <t>Lat Text</t>
  </si>
  <si>
    <t>Long Text</t>
  </si>
  <si>
    <t>Latitude and/or Longitude has been entered as text.  Change to a number.</t>
  </si>
  <si>
    <t xml:space="preserve">Parcel No.: </t>
  </si>
  <si>
    <t>Parcel No.:</t>
  </si>
  <si>
    <t>Parcel No. has not been provided</t>
  </si>
  <si>
    <t>The as-built drawing shall bear the date, seal, and signature of the professional land surveyor.</t>
  </si>
  <si>
    <t>As-built drawing, at a minimum, shall include the following:</t>
  </si>
  <si>
    <t>Agreement Type:</t>
  </si>
  <si>
    <t>Known Flooding Storm &lt;:</t>
  </si>
  <si>
    <t>Adj Property Storm&lt;:</t>
  </si>
  <si>
    <t>5, 10, 25, 50, and 100</t>
  </si>
  <si>
    <t>10, 25, 50, and 100</t>
  </si>
  <si>
    <t>25, 50, and 100</t>
  </si>
  <si>
    <t>50 and 100</t>
  </si>
  <si>
    <t>Known or Adj Storm</t>
  </si>
  <si>
    <t>Requirements</t>
  </si>
  <si>
    <t>Known or Adj Design Storm:</t>
  </si>
  <si>
    <t>Known or Adj Design Storm&lt;:</t>
  </si>
  <si>
    <t>Question</t>
  </si>
  <si>
    <t>Outlet Protection</t>
  </si>
  <si>
    <t xml:space="preserve">Depth: </t>
  </si>
  <si>
    <t xml:space="preserve">Type: </t>
  </si>
  <si>
    <t>Riprap apron</t>
  </si>
  <si>
    <t>Concrete flume with baffles</t>
  </si>
  <si>
    <t>Concrete box with chambers</t>
  </si>
  <si>
    <t>Concrete box with baffles</t>
  </si>
  <si>
    <t>Pre-manufactured product</t>
  </si>
  <si>
    <t xml:space="preserve">Geotextile: </t>
  </si>
  <si>
    <t>Outlet Protection:</t>
  </si>
  <si>
    <t>Baldwin County</t>
  </si>
  <si>
    <t xml:space="preserve">Effective Date: </t>
  </si>
  <si>
    <t xml:space="preserve">IMPORTANT - READ BEFORE USE: </t>
  </si>
  <si>
    <t xml:space="preserve">Acceptance (required): </t>
  </si>
  <si>
    <t>I ACCEPT</t>
  </si>
  <si>
    <t>I DO NOT ACCEPT</t>
  </si>
  <si>
    <t>Acceptance Table</t>
  </si>
  <si>
    <t>Selection Required</t>
  </si>
  <si>
    <t xml:space="preserve">Administrator Code (Hidden): </t>
  </si>
  <si>
    <t xml:space="preserve">Current Status: </t>
  </si>
  <si>
    <t xml:space="preserve">Gate OK: </t>
  </si>
  <si>
    <t xml:space="preserve">Accepted Flag: </t>
  </si>
  <si>
    <t xml:space="preserve">Admin Unlock Code: </t>
  </si>
  <si>
    <t>Workbook Lock Configuration</t>
  </si>
  <si>
    <t>Version Date:</t>
  </si>
  <si>
    <t xml:space="preserve">Active Months: </t>
  </si>
  <si>
    <t xml:space="preserve">Lock Date: </t>
  </si>
  <si>
    <t xml:space="preserve">Expiration Date: </t>
  </si>
  <si>
    <t xml:space="preserve">Override LockD and Time: </t>
  </si>
  <si>
    <t xml:space="preserve">Computed Lock Date and Time: </t>
  </si>
  <si>
    <t>Slope:</t>
  </si>
  <si>
    <t>Entity:</t>
  </si>
  <si>
    <t>the City of Hoover</t>
  </si>
  <si>
    <t>Jefferson County</t>
  </si>
  <si>
    <t>the City of Mobile</t>
  </si>
  <si>
    <t>the City of Montgomery</t>
  </si>
  <si>
    <t>the City of Prattville</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</si>
  <si>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</si>
  <si>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</si>
  <si>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</si>
  <si>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</si>
  <si>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</si>
  <si>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</si>
  <si>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</si>
  <si>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</si>
  <si>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</si>
  <si>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</si>
  <si>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</si>
  <si>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</si>
  <si>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</si>
  <si>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</si>
  <si>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</si>
  <si>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</si>
  <si>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special, consequential, or punitive damages.</t>
  </si>
  <si>
    <t xml:space="preserve"> O&amp;M Plan</t>
  </si>
  <si>
    <t>Drainage Rights</t>
  </si>
  <si>
    <t>END USER LICENSE AGREEMENT (EULA)</t>
  </si>
  <si>
    <t>authorized, do not use the Tool.</t>
  </si>
  <si>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</si>
  <si>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Limited License</t>
  </si>
  <si>
    <t>agreed in writing.</t>
  </si>
  <si>
    <t>notices, logos, or watermarks; (c) bypass or disable protections; or (d) redistribute the Tool to third parties (other than submitting filled</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</si>
  <si>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</si>
  <si>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</si>
  <si>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</si>
  <si>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</si>
  <si>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</si>
  <si>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r>
      <t>The Tool is provided "</t>
    </r>
    <r>
      <rPr>
        <b/>
        <sz val="12"/>
        <color theme="1"/>
        <rFont val="Calibri"/>
        <family val="2"/>
      </rPr>
      <t>AS IS</t>
    </r>
    <r>
      <rPr>
        <sz val="12"/>
        <color theme="1"/>
        <rFont val="Calibri"/>
        <family val="2"/>
        <scheme val="minor"/>
      </rPr>
      <t>".  Licensor disclaims all warranties, express or implied (including merchantability, fitness for a particular</t>
    </r>
  </si>
  <si>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</si>
  <si>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</si>
  <si>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</si>
  <si>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</si>
  <si>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</si>
  <si>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</si>
  <si>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</si>
  <si>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</si>
  <si>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</si>
  <si>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</si>
  <si>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</si>
  <si>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</si>
  <si>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t>the permitted purpose.</t>
  </si>
  <si>
    <t>purpose, and non-infringement.)  To the  Maximum extent permitted by law, Licensor will not be liable for indirect, incidental,</t>
  </si>
  <si>
    <t>Form 2G - Level Spreader
Design Form</t>
  </si>
  <si>
    <t>Blind Swale</t>
  </si>
  <si>
    <t xml:space="preserve"> Detention Pond</t>
  </si>
  <si>
    <t xml:space="preserve"> Retention Pond</t>
  </si>
  <si>
    <t xml:space="preserve"> Underground Detention</t>
  </si>
  <si>
    <t xml:space="preserve"> Permeable Pavement</t>
  </si>
  <si>
    <t>Triangle</t>
  </si>
  <si>
    <t xml:space="preserve">Bottom Width: </t>
  </si>
  <si>
    <t xml:space="preserve">Side Slope: </t>
  </si>
  <si>
    <t>Level Spreader</t>
  </si>
  <si>
    <t>Rainfall (in)</t>
  </si>
  <si>
    <t>Primary BMP</t>
  </si>
  <si>
    <t>Level Spreader Design Discharge</t>
  </si>
  <si>
    <t xml:space="preserve"> No BMP</t>
  </si>
  <si>
    <t>Stone Filter Strip</t>
  </si>
  <si>
    <t xml:space="preserve">Stone Depth: </t>
  </si>
  <si>
    <t xml:space="preserve">Slope: </t>
  </si>
  <si>
    <t xml:space="preserve">Velocity: </t>
  </si>
  <si>
    <t>ft/s</t>
  </si>
  <si>
    <t xml:space="preserve"> Design Calculations</t>
  </si>
  <si>
    <t xml:space="preserve">Swale Slope: </t>
  </si>
  <si>
    <t xml:space="preserve">Inv. EL.: </t>
  </si>
  <si>
    <t xml:space="preserve">Span: </t>
  </si>
  <si>
    <t xml:space="preserve">Rise: </t>
  </si>
  <si>
    <t>OR</t>
  </si>
  <si>
    <t>Location</t>
  </si>
  <si>
    <r>
      <t>Discharges (ft</t>
    </r>
    <r>
      <rPr>
        <vertAlign val="superscript"/>
        <sz val="10"/>
        <color theme="1"/>
        <rFont val="Calibri"/>
        <family val="2"/>
        <scheme val="minor"/>
      </rPr>
      <t>3</t>
    </r>
    <r>
      <rPr>
        <sz val="10"/>
        <color theme="1"/>
        <rFont val="Calibri"/>
        <family val="2"/>
        <scheme val="minor"/>
      </rPr>
      <t>/s)</t>
    </r>
  </si>
  <si>
    <t>Page 1 of 2</t>
  </si>
  <si>
    <t>Page 2 of 2</t>
  </si>
  <si>
    <t>By affixing my professional seal and signature on this form, I hereby certify that the level spreader is designed to convert a</t>
  </si>
  <si>
    <t>point source discharge to sheet flow and will not adversley impact the receiving area.</t>
  </si>
  <si>
    <t>Location:</t>
  </si>
  <si>
    <t>Flow over level spreader:</t>
  </si>
  <si>
    <t xml:space="preserve"> H : 1 Vertical</t>
  </si>
  <si>
    <t>Grassed Filter Strip</t>
  </si>
  <si>
    <t>Outlet Pipe:</t>
  </si>
  <si>
    <t>Max Slope</t>
  </si>
  <si>
    <t>Slope &gt; 0</t>
  </si>
  <si>
    <t xml:space="preserve">Lip EL.: </t>
  </si>
  <si>
    <t>Lip - Ex Grade &lt;  0.25 ft</t>
  </si>
  <si>
    <t>Stone Depth &lt; 3-in</t>
  </si>
  <si>
    <t>Width &lt; 3-ft</t>
  </si>
  <si>
    <t xml:space="preserve">Toe Grade EL.: </t>
  </si>
  <si>
    <t>Min Slope</t>
  </si>
  <si>
    <t>Min grass filter width</t>
  </si>
  <si>
    <t>Grass Filter Strip</t>
  </si>
  <si>
    <t>Lip EL:</t>
  </si>
  <si>
    <t>Depth:</t>
  </si>
  <si>
    <t>Grass Filter Strip Slope</t>
  </si>
  <si>
    <t>Stone Filter Strip Slope</t>
  </si>
  <si>
    <t>Level spreader slope is not 0%</t>
  </si>
  <si>
    <t>Stone depth &lt; 3-in</t>
  </si>
  <si>
    <t>Strip width &lt; 3-ft</t>
  </si>
  <si>
    <t>Grass flter width &lt;25-ft</t>
  </si>
  <si>
    <t>Geotextile filter fabric not provided</t>
  </si>
  <si>
    <t>Filter Fabric:</t>
  </si>
  <si>
    <t xml:space="preserve">By affixing my professional seal and signature on this form, I hereby certify that the level spreader has been constructed in accordance with the approved design. </t>
  </si>
  <si>
    <t xml:space="preserve">Filter Fabric: </t>
  </si>
  <si>
    <t>Page 1 of 3</t>
  </si>
  <si>
    <t>Page 2 of 3</t>
  </si>
  <si>
    <t>Page 3 of 3</t>
  </si>
  <si>
    <t>Level Spreader Slope &gt; 0</t>
  </si>
  <si>
    <t>Stone Filter Strip Width &lt; 3-ft</t>
  </si>
  <si>
    <t>Form 3G - Level Spreader
As-Built Certification Form</t>
  </si>
  <si>
    <t>General design standards and requirements shall be as follows:</t>
  </si>
  <si>
    <t>A level spreader shall not be constructed within a floodplain or floodway</t>
  </si>
  <si>
    <t>Rainfall depths were obtained from NOAA Atlas 14, Volume 9, Version 2</t>
  </si>
  <si>
    <t>Level Spreader Cross Section obtained from the Low Impact Development Handbook for the State of Alabama</t>
  </si>
  <si>
    <t>The latest version of the Low Impact Development Handbook for the State of Alabama is incorporated by reference</t>
  </si>
  <si>
    <t>A level spreader is required when a primary BMP discharges via sheet flow onto and adjacent property</t>
  </si>
  <si>
    <t>Level spreader lip shall be a minimum of 3-inches higher that the toe grade elevation</t>
  </si>
  <si>
    <t>Level spreader design requirements</t>
  </si>
  <si>
    <t>Designed for a 25-year, 24-hour storm event</t>
  </si>
  <si>
    <t>Discharge velocity shall not exceed 4 ft/s</t>
  </si>
  <si>
    <t>Stone filter strip design requirements</t>
  </si>
  <si>
    <t>Minimum width of 3-feet</t>
  </si>
  <si>
    <t>Include a geotextile filter fabric</t>
  </si>
  <si>
    <t>Minimum 3-inch layer of aggregate stone</t>
  </si>
  <si>
    <t>Straight or convex in plain view, but not concave</t>
  </si>
  <si>
    <t>A concrete weir constructed level (0% slope)</t>
  </si>
  <si>
    <t>Slope shall not be less than 2% or greater than 6%</t>
  </si>
  <si>
    <t>Grassed filter strip design requirements</t>
  </si>
  <si>
    <t>Minimum width of 25-feet</t>
  </si>
  <si>
    <t>Primary BMP outfall</t>
  </si>
  <si>
    <t>Blind swale</t>
  </si>
  <si>
    <t>Level spreader</t>
  </si>
  <si>
    <t>Stone filter strip</t>
  </si>
  <si>
    <t>Grassed filter strip</t>
  </si>
  <si>
    <t>Perform a field survey of the constructed blind swale, level spreader, stone filter strip, and grassed filter strip</t>
  </si>
  <si>
    <t>Develop an as-built drawing</t>
  </si>
  <si>
    <t>Use the as-built survey data to complete Form 3G – Level Spreader As-built Certification Form;</t>
  </si>
  <si>
    <t>Outfall to adjacent property</t>
  </si>
  <si>
    <t>The difference between the Lip EL and Toe Grade EL &lt; 3-in</t>
  </si>
  <si>
    <t>Grassed</t>
  </si>
  <si>
    <t>Lee County</t>
  </si>
  <si>
    <t>Release Agreement</t>
  </si>
  <si>
    <t>Spillage Agreement</t>
  </si>
  <si>
    <t>Parabolic</t>
  </si>
  <si>
    <t>spot elevations, etc.</t>
  </si>
  <si>
    <t>Location of the blind swale, level spreader, stone filter strip, grass filter strip, contours, contour labels,</t>
  </si>
  <si>
    <t>Detail of the blind swale, level spreader, stone filter strip, grass filter strip, etc.</t>
  </si>
  <si>
    <t>Riprap Class</t>
  </si>
  <si>
    <t>Class</t>
  </si>
  <si>
    <t>Min Depth (ft)</t>
  </si>
  <si>
    <t>Depth</t>
  </si>
  <si>
    <t>The calculation methodology shall utilize the Natural Resources Conservation Service (NRCS) Urban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</si>
</sst>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409]d\-mmm\-yy;@"/>
    <numFmt numFmtId="165" formatCode="0.000000"/>
    <numFmt numFmtId="166" formatCode="0."/>
    <numFmt numFmtId="167" formatCode="[$-409]d\ mmmm\ yyyy;@"/>
    <numFmt numFmtId="168" formatCode="[$-409]dd\ mmmm\ yyyy;@"/>
    <numFmt numFmtId="169" formatCode="[&lt;=9999999]###\-####;\(###\)\ ###\-####"/>
    <numFmt numFmtId="170" formatCode="00000"/>
    <numFmt numFmtId="171" formatCode="[$-409]dd\-mmm\-yy;@"/>
    <numFmt numFmtId="172" formatCode="[$-409]mmmm\ d\,\ yyyy;@"/>
    <numFmt numFmtId="173" formatCode="00\ 00\ 00\ 0\ 000\ 000.000"/>
    <numFmt numFmtId="174" formatCode="yyyy\-mm\-dd\ hh:mm"/>
    <numFmt numFmtId="175" formatCode="[$-409]dd\ mmmm\ yyyy\ h:mm\ AM/PM;@"/>
    <numFmt numFmtId="176" formatCode="0\)"/>
    <numFmt numFmtId="177" formatCode="0.0"/>
    <numFmt numFmtId="178" formatCode="0.000000_);\(0.000000\)"/>
  </numFmts>
  <fonts count="22"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u/>
      <sz val="11"/>
      <color theme="10"/>
      <name val="Calibri"/>
      <family val="2"/>
      <scheme val="minor"/>
    </font>
    <font>
      <b/>
      <u/>
      <sz val="10"/>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sz val="9"/>
      <color theme="1"/>
      <name val="Calibri"/>
      <family val="2"/>
      <scheme val="minor"/>
    </font>
    <font>
      <sz val="10"/>
      <color theme="1"/>
      <name val="Calibri"/>
      <family val="2"/>
    </font>
    <font>
      <sz val="9"/>
      <color indexed="81"/>
      <name val="Tahoma"/>
      <family val="2"/>
    </font>
    <font>
      <b/>
      <sz val="9"/>
      <color indexed="81"/>
      <name val="Tahoma"/>
      <family val="2"/>
    </font>
    <font>
      <b/>
      <sz val="11"/>
      <color theme="1"/>
      <name val="Calibri"/>
      <family val="2"/>
      <scheme val="minor"/>
    </font>
    <font>
      <u/>
      <sz val="10"/>
      <color theme="10"/>
      <name val="Calibri"/>
      <family val="2"/>
      <scheme val="minor"/>
    </font>
    <font>
      <b/>
      <sz val="11"/>
      <color theme="0"/>
      <name val="Calibri"/>
      <family val="2"/>
      <scheme val="minor"/>
    </font>
    <font>
      <b/>
      <sz val="12"/>
      <color theme="1"/>
      <name val="Calibri"/>
      <family val="2"/>
    </font>
    <font>
      <vertAlign val="superscript"/>
      <sz val="10"/>
      <color theme="1"/>
      <name val="Calibri"/>
      <family val="2"/>
      <scheme val="minor"/>
    </font>
    <font>
      <u/>
      <sz val="10"/>
      <color theme="1"/>
      <name val="Calibri"/>
      <family val="2"/>
      <scheme val="minor"/>
    </font>
  </fonts>
  <fills count="10">
    <fill>
      <patternFill patternType="none"/>
    </fill>
    <fill>
      <patternFill patternType="gray125"/>
    </fill>
    <fill>
      <patternFill patternType="solid">
        <fgColor theme="7" tint="0.59996337778862885"/>
        <bgColor indexed="64"/>
      </patternFill>
    </fill>
    <fill>
      <patternFill patternType="solid">
        <fgColor theme="8" tint="0.599963377788628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2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ck">
        <color auto="1"/>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style="thick">
        <color auto="1"/>
      </left>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00">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right" vertical="center" indent="1"/>
    </xf>
    <xf numFmtId="0" fontId="3" fillId="0" borderId="0" xfId="0" applyFont="1" applyAlignment="1">
      <alignment vertical="center"/>
    </xf>
    <xf numFmtId="0" fontId="4" fillId="0" borderId="0" xfId="0" applyFont="1" applyAlignment="1">
      <alignment vertical="center" wrapText="1"/>
    </xf>
    <xf numFmtId="0" fontId="3" fillId="0" borderId="0" xfId="0" applyFont="1" applyAlignment="1">
      <alignment horizontal="center" vertical="center"/>
    </xf>
    <xf numFmtId="4" fontId="3" fillId="0" borderId="0" xfId="0" applyNumberFormat="1" applyFont="1" applyAlignment="1">
      <alignment vertical="center"/>
    </xf>
    <xf numFmtId="0" fontId="5" fillId="0" borderId="0" xfId="0" applyFont="1" applyAlignment="1">
      <alignment vertical="center"/>
    </xf>
    <xf numFmtId="0" fontId="3" fillId="0" borderId="0" xfId="0" applyFont="1" applyAlignment="1">
      <alignment horizontal="right"/>
    </xf>
    <xf numFmtId="0" fontId="2" fillId="0" borderId="0" xfId="0" applyFont="1" applyAlignment="1">
      <alignment horizontal="right" vertical="center" wrapText="1"/>
    </xf>
    <xf numFmtId="2" fontId="3" fillId="0" borderId="0" xfId="0" applyNumberFormat="1" applyFont="1" applyAlignment="1">
      <alignment vertical="center"/>
    </xf>
    <xf numFmtId="165" fontId="3" fillId="0" borderId="0" xfId="0" applyNumberFormat="1" applyFont="1" applyAlignment="1">
      <alignment vertical="center"/>
    </xf>
    <xf numFmtId="0" fontId="3" fillId="0" borderId="0" xfId="0" applyFont="1" applyAlignment="1" applyProtection="1">
      <alignment vertical="center"/>
      <protection hidden="1"/>
    </xf>
    <xf numFmtId="0" fontId="3" fillId="0" borderId="0" xfId="0" applyFont="1"/>
    <xf numFmtId="0" fontId="2" fillId="0" borderId="0" xfId="0" applyFont="1" applyAlignment="1">
      <alignment vertical="center" wrapText="1"/>
    </xf>
    <xf numFmtId="0" fontId="4" fillId="4" borderId="4" xfId="0" applyFont="1" applyFill="1" applyBorder="1" applyAlignment="1">
      <alignment vertical="center"/>
    </xf>
    <xf numFmtId="0" fontId="3" fillId="4" borderId="3" xfId="0" applyFont="1" applyFill="1" applyBorder="1" applyAlignment="1">
      <alignment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3" fillId="4" borderId="0" xfId="0" applyFont="1" applyFill="1" applyAlignment="1">
      <alignment vertical="center"/>
    </xf>
    <xf numFmtId="0" fontId="3" fillId="4" borderId="7" xfId="0" applyFont="1" applyFill="1" applyBorder="1" applyAlignment="1">
      <alignment vertical="center"/>
    </xf>
    <xf numFmtId="0" fontId="3" fillId="4" borderId="0" xfId="0" applyFont="1" applyFill="1" applyAlignment="1">
      <alignment horizontal="right" vertical="center"/>
    </xf>
    <xf numFmtId="0" fontId="3" fillId="4" borderId="8" xfId="0" applyFont="1" applyFill="1" applyBorder="1" applyAlignment="1">
      <alignment vertical="center"/>
    </xf>
    <xf numFmtId="0" fontId="3" fillId="4" borderId="1" xfId="0" applyFont="1" applyFill="1" applyBorder="1" applyAlignment="1">
      <alignment vertical="center"/>
    </xf>
    <xf numFmtId="0" fontId="3" fillId="4" borderId="1" xfId="0" applyFont="1" applyFill="1" applyBorder="1" applyAlignment="1">
      <alignment horizontal="right" vertical="center"/>
    </xf>
    <xf numFmtId="0" fontId="3" fillId="4" borderId="9" xfId="0" applyFont="1" applyFill="1" applyBorder="1" applyAlignment="1">
      <alignment vertical="center"/>
    </xf>
    <xf numFmtId="0" fontId="7" fillId="4" borderId="0" xfId="0" applyFont="1" applyFill="1" applyAlignment="1">
      <alignment horizontal="right" vertical="center"/>
    </xf>
    <xf numFmtId="0" fontId="7" fillId="4" borderId="0" xfId="0" applyFont="1" applyFill="1" applyAlignment="1">
      <alignment vertical="center"/>
    </xf>
    <xf numFmtId="0" fontId="0" fillId="0" borderId="0" xfId="0" applyAlignment="1">
      <alignment vertical="center"/>
    </xf>
    <xf numFmtId="0" fontId="0" fillId="0" borderId="0" xfId="0" applyAlignment="1">
      <alignment horizontal="left" vertical="center"/>
    </xf>
    <xf numFmtId="2" fontId="3" fillId="0" borderId="0" xfId="0" applyNumberFormat="1" applyFont="1" applyAlignment="1" applyProtection="1">
      <alignment horizontal="right" vertical="center"/>
      <protection hidden="1"/>
    </xf>
    <xf numFmtId="2" fontId="3" fillId="0" borderId="0" xfId="0" applyNumberFormat="1" applyFont="1" applyAlignment="1" applyProtection="1">
      <alignment vertical="center"/>
      <protection hidden="1"/>
    </xf>
    <xf numFmtId="0" fontId="3" fillId="0" borderId="0" xfId="0" applyFont="1" applyAlignment="1">
      <alignment horizontal="left" vertical="center"/>
    </xf>
    <xf numFmtId="0" fontId="3" fillId="6" borderId="0" xfId="0" applyFont="1" applyFill="1" applyAlignment="1">
      <alignment vertical="center"/>
    </xf>
    <xf numFmtId="0" fontId="2" fillId="6" borderId="0" xfId="0" applyFont="1" applyFill="1" applyAlignment="1">
      <alignment vertical="center" wrapText="1"/>
    </xf>
    <xf numFmtId="0" fontId="3" fillId="6" borderId="0" xfId="0" applyFont="1" applyFill="1" applyAlignment="1">
      <alignment horizontal="right" vertical="center"/>
    </xf>
    <xf numFmtId="0" fontId="3" fillId="0" borderId="11" xfId="0" applyFont="1" applyBorder="1" applyAlignment="1" applyProtection="1">
      <alignment horizontal="center" vertical="center"/>
      <protection locked="0"/>
    </xf>
    <xf numFmtId="166" fontId="3" fillId="0" borderId="0" xfId="0" applyNumberFormat="1" applyFont="1" applyAlignment="1">
      <alignment horizontal="center" vertical="center"/>
    </xf>
    <xf numFmtId="0" fontId="3" fillId="0" borderId="11" xfId="0" applyFont="1" applyBorder="1" applyAlignment="1">
      <alignment horizontal="center" vertical="center"/>
    </xf>
    <xf numFmtId="0" fontId="6" fillId="0" borderId="0" xfId="1" applyBorder="1" applyAlignment="1" applyProtection="1">
      <alignment horizontal="left" vertical="center"/>
    </xf>
    <xf numFmtId="0" fontId="3" fillId="0" borderId="0" xfId="0" applyFont="1" applyAlignment="1">
      <alignment vertical="top" wrapText="1"/>
    </xf>
    <xf numFmtId="0" fontId="0" fillId="0" borderId="0" xfId="0" applyAlignment="1">
      <alignment horizontal="right" vertical="center"/>
    </xf>
    <xf numFmtId="0" fontId="11" fillId="0" borderId="0" xfId="0" applyFont="1" applyAlignment="1">
      <alignment horizontal="center" vertical="center"/>
    </xf>
    <xf numFmtId="0" fontId="3" fillId="0" borderId="3" xfId="0" applyFont="1" applyBorder="1" applyAlignment="1">
      <alignment vertical="center"/>
    </xf>
    <xf numFmtId="166" fontId="9" fillId="0" borderId="0" xfId="0" applyNumberFormat="1" applyFont="1" applyAlignment="1">
      <alignment horizontal="center" vertical="center"/>
    </xf>
    <xf numFmtId="0" fontId="9" fillId="0" borderId="0" xfId="0" applyFont="1" applyAlignment="1">
      <alignment vertical="center"/>
    </xf>
    <xf numFmtId="166" fontId="8" fillId="0" borderId="0" xfId="0" applyNumberFormat="1" applyFont="1" applyAlignment="1">
      <alignment vertical="center"/>
    </xf>
    <xf numFmtId="0" fontId="9" fillId="0" borderId="1" xfId="0" applyFont="1" applyBorder="1" applyAlignment="1">
      <alignment horizontal="center" vertical="center"/>
    </xf>
    <xf numFmtId="4" fontId="9" fillId="0" borderId="1" xfId="0" applyNumberFormat="1" applyFont="1" applyBorder="1" applyAlignment="1">
      <alignment vertical="center"/>
    </xf>
    <xf numFmtId="0" fontId="9" fillId="0" borderId="0" xfId="0" applyFont="1" applyAlignment="1">
      <alignment horizontal="left" vertical="center" wrapText="1"/>
    </xf>
    <xf numFmtId="0" fontId="9" fillId="0" borderId="0" xfId="0" applyFont="1" applyAlignment="1">
      <alignment vertical="center" wrapText="1"/>
    </xf>
    <xf numFmtId="0" fontId="10" fillId="2" borderId="1" xfId="0" applyFont="1" applyFill="1" applyBorder="1" applyAlignment="1">
      <alignment vertical="center"/>
    </xf>
    <xf numFmtId="0" fontId="9" fillId="5" borderId="1" xfId="0" applyFont="1" applyFill="1" applyBorder="1" applyAlignment="1">
      <alignment vertical="center"/>
    </xf>
    <xf numFmtId="0" fontId="5" fillId="0" borderId="0" xfId="0" applyFont="1" applyAlignment="1">
      <alignment horizontal="left" vertical="center"/>
    </xf>
    <xf numFmtId="0" fontId="3" fillId="0" borderId="1" xfId="0" applyFont="1" applyBorder="1" applyAlignment="1">
      <alignment vertical="center"/>
    </xf>
    <xf numFmtId="0" fontId="3" fillId="0" borderId="0" xfId="0" applyFont="1" applyAlignment="1">
      <alignment vertical="top"/>
    </xf>
    <xf numFmtId="0" fontId="11" fillId="0" borderId="0" xfId="0" applyFont="1" applyAlignment="1">
      <alignment horizontal="right" vertical="center" indent="1"/>
    </xf>
    <xf numFmtId="0" fontId="13" fillId="0" borderId="0" xfId="0" applyFont="1" applyAlignment="1">
      <alignment horizontal="center" vertical="center"/>
    </xf>
    <xf numFmtId="167" fontId="12" fillId="0" borderId="0" xfId="0" applyNumberFormat="1" applyFont="1" applyAlignment="1">
      <alignment horizontal="left" vertical="center"/>
    </xf>
    <xf numFmtId="0" fontId="4" fillId="4" borderId="3" xfId="0" applyFont="1" applyFill="1" applyBorder="1" applyAlignment="1">
      <alignment vertical="center"/>
    </xf>
    <xf numFmtId="165" fontId="3" fillId="0" borderId="0" xfId="0" applyNumberFormat="1" applyFont="1" applyAlignment="1" applyProtection="1">
      <alignment vertical="center"/>
      <protection hidden="1"/>
    </xf>
    <xf numFmtId="0" fontId="3" fillId="6" borderId="0" xfId="0" applyFont="1" applyFill="1" applyAlignment="1">
      <alignment horizontal="center" vertical="center"/>
    </xf>
    <xf numFmtId="0" fontId="5" fillId="6" borderId="0" xfId="0" applyFont="1" applyFill="1" applyAlignment="1">
      <alignment horizontal="left" vertical="center"/>
    </xf>
    <xf numFmtId="0" fontId="0" fillId="0" borderId="0" xfId="0" applyAlignment="1">
      <alignment wrapText="1"/>
    </xf>
    <xf numFmtId="0" fontId="0" fillId="0" borderId="0" xfId="0" applyAlignment="1">
      <alignment horizontal="left" wrapText="1"/>
    </xf>
    <xf numFmtId="0" fontId="3" fillId="0" borderId="0" xfId="0" applyFont="1" applyAlignment="1">
      <alignment horizontal="left" wrapText="1"/>
    </xf>
    <xf numFmtId="0" fontId="3" fillId="6" borderId="0" xfId="0" applyFont="1" applyFill="1" applyAlignment="1">
      <alignment horizontal="left" vertical="center"/>
    </xf>
    <xf numFmtId="166" fontId="5" fillId="0" borderId="0" xfId="0" applyNumberFormat="1" applyFont="1" applyAlignment="1">
      <alignment horizontal="center" vertical="center"/>
    </xf>
    <xf numFmtId="0" fontId="3" fillId="6" borderId="11" xfId="0" applyFont="1" applyFill="1" applyBorder="1" applyAlignment="1">
      <alignment horizontal="center" vertical="center"/>
    </xf>
    <xf numFmtId="4" fontId="3" fillId="6" borderId="0" xfId="0" applyNumberFormat="1" applyFont="1" applyFill="1" applyAlignment="1">
      <alignment vertical="center"/>
    </xf>
    <xf numFmtId="1" fontId="3" fillId="6" borderId="11" xfId="0" applyNumberFormat="1" applyFont="1" applyFill="1" applyBorder="1" applyAlignment="1">
      <alignment horizontal="center" vertical="center"/>
    </xf>
    <xf numFmtId="0" fontId="3" fillId="0" borderId="3" xfId="0" applyFont="1" applyBorder="1" applyAlignment="1">
      <alignment horizontal="right" vertical="center"/>
    </xf>
    <xf numFmtId="0" fontId="9" fillId="0" borderId="0" xfId="0" applyFont="1" applyAlignment="1">
      <alignment horizontal="center" vertical="center"/>
    </xf>
    <xf numFmtId="2" fontId="0" fillId="0" borderId="0" xfId="0" applyNumberFormat="1" applyAlignment="1">
      <alignment horizontal="center" vertical="center"/>
    </xf>
    <xf numFmtId="0" fontId="0" fillId="0" borderId="0" xfId="0" applyAlignment="1">
      <alignment horizontal="center" vertical="center"/>
    </xf>
    <xf numFmtId="0" fontId="16" fillId="0" borderId="0" xfId="0" applyFont="1" applyAlignment="1">
      <alignment vertical="center"/>
    </xf>
    <xf numFmtId="0" fontId="16" fillId="0" borderId="0" xfId="0" applyFont="1" applyAlignment="1">
      <alignment horizontal="center" vertical="center"/>
    </xf>
    <xf numFmtId="0" fontId="0" fillId="0" borderId="0" xfId="0" quotePrefix="1" applyAlignment="1">
      <alignment vertical="center"/>
    </xf>
    <xf numFmtId="168" fontId="0" fillId="0" borderId="0" xfId="0" quotePrefix="1" applyNumberFormat="1" applyAlignment="1">
      <alignment horizontal="center" vertical="center"/>
    </xf>
    <xf numFmtId="167" fontId="0" fillId="7" borderId="12" xfId="0" applyNumberFormat="1" applyFill="1" applyBorder="1" applyAlignment="1">
      <alignment horizontal="center" vertical="center"/>
    </xf>
    <xf numFmtId="0" fontId="0" fillId="7" borderId="12" xfId="0" applyFill="1" applyBorder="1" applyAlignment="1">
      <alignment horizontal="center" vertical="center"/>
    </xf>
    <xf numFmtId="167" fontId="0" fillId="0" borderId="0" xfId="0" applyNumberFormat="1" applyAlignment="1">
      <alignment horizontal="center" vertical="center"/>
    </xf>
    <xf numFmtId="167" fontId="0" fillId="0" borderId="0" xfId="0" quotePrefix="1" applyNumberFormat="1" applyAlignment="1">
      <alignment horizontal="center" vertical="center"/>
    </xf>
    <xf numFmtId="2" fontId="0" fillId="0" borderId="0" xfId="0" applyNumberFormat="1" applyAlignment="1">
      <alignment vertical="center"/>
    </xf>
    <xf numFmtId="168" fontId="0" fillId="0" borderId="0" xfId="0" applyNumberFormat="1" applyAlignment="1">
      <alignment horizontal="center" vertical="center"/>
    </xf>
    <xf numFmtId="1" fontId="0" fillId="0" borderId="0" xfId="0" applyNumberFormat="1" applyAlignment="1">
      <alignment horizontal="center" vertical="center"/>
    </xf>
    <xf numFmtId="0" fontId="16" fillId="0" borderId="0" xfId="0" applyFont="1" applyAlignment="1">
      <alignment horizontal="right" vertical="center"/>
    </xf>
    <xf numFmtId="0" fontId="0" fillId="0" borderId="0" xfId="0" applyAlignment="1">
      <alignment horizontal="right" vertical="center" indent="1"/>
    </xf>
    <xf numFmtId="0" fontId="0" fillId="0" borderId="0" xfId="0" applyAlignment="1">
      <alignment horizontal="right"/>
    </xf>
    <xf numFmtId="174" fontId="0" fillId="0" borderId="0" xfId="0" applyNumberFormat="1"/>
    <xf numFmtId="14" fontId="0" fillId="0" borderId="0" xfId="0" applyNumberFormat="1"/>
    <xf numFmtId="0" fontId="5" fillId="0" borderId="0" xfId="0" applyFont="1" applyAlignment="1">
      <alignment horizontal="right" vertical="center"/>
    </xf>
    <xf numFmtId="0" fontId="9" fillId="6" borderId="0" xfId="0" applyFont="1" applyFill="1" applyAlignment="1">
      <alignment vertical="center"/>
    </xf>
    <xf numFmtId="0" fontId="9" fillId="6" borderId="11" xfId="0" applyFont="1" applyFill="1" applyBorder="1" applyAlignment="1">
      <alignment horizontal="center" vertical="center"/>
    </xf>
    <xf numFmtId="166" fontId="9" fillId="6" borderId="0" xfId="0" applyNumberFormat="1" applyFont="1" applyFill="1" applyAlignment="1">
      <alignment horizontal="center" vertical="center"/>
    </xf>
    <xf numFmtId="0" fontId="18" fillId="8" borderId="13" xfId="0" applyFont="1" applyFill="1" applyBorder="1" applyAlignment="1">
      <alignment horizontal="center" vertical="center"/>
    </xf>
    <xf numFmtId="0" fontId="0" fillId="0" borderId="16" xfId="0" applyBorder="1" applyAlignment="1">
      <alignment horizontal="right" vertical="center"/>
    </xf>
    <xf numFmtId="175" fontId="0" fillId="0" borderId="17" xfId="0" applyNumberFormat="1" applyBorder="1" applyAlignment="1">
      <alignment horizontal="center"/>
    </xf>
    <xf numFmtId="0" fontId="0" fillId="0" borderId="18" xfId="0" applyBorder="1" applyAlignment="1">
      <alignment horizontal="right" vertical="center"/>
    </xf>
    <xf numFmtId="0" fontId="0" fillId="9" borderId="19" xfId="0" applyFill="1" applyBorder="1" applyAlignment="1">
      <alignment horizontal="center"/>
    </xf>
    <xf numFmtId="175" fontId="0" fillId="0" borderId="20" xfId="0" applyNumberFormat="1" applyBorder="1" applyAlignment="1">
      <alignment horizontal="center"/>
    </xf>
    <xf numFmtId="0" fontId="0" fillId="0" borderId="20" xfId="0" applyBorder="1" applyAlignment="1">
      <alignment horizontal="center"/>
    </xf>
    <xf numFmtId="0" fontId="0" fillId="0" borderId="21" xfId="0" applyBorder="1" applyAlignment="1">
      <alignment horizontal="right" vertical="center"/>
    </xf>
    <xf numFmtId="0" fontId="0" fillId="0" borderId="22" xfId="0" applyBorder="1" applyAlignment="1">
      <alignment horizontal="center"/>
    </xf>
    <xf numFmtId="175" fontId="0" fillId="9" borderId="12" xfId="0" applyNumberFormat="1" applyFill="1" applyBorder="1" applyAlignment="1">
      <alignment horizontal="center"/>
    </xf>
    <xf numFmtId="0" fontId="5" fillId="0" borderId="11" xfId="0" applyFont="1" applyBorder="1" applyAlignment="1" applyProtection="1">
      <alignment horizontal="center" vertical="center"/>
      <protection locked="0"/>
    </xf>
    <xf numFmtId="176" fontId="5" fillId="0" borderId="0" xfId="0" applyNumberFormat="1" applyFont="1" applyAlignment="1">
      <alignment horizontal="right" vertical="center"/>
    </xf>
    <xf numFmtId="176" fontId="5" fillId="0" borderId="0" xfId="0" applyNumberFormat="1" applyFont="1" applyAlignment="1">
      <alignment vertical="center"/>
    </xf>
    <xf numFmtId="0" fontId="5" fillId="6" borderId="0" xfId="0" applyFont="1" applyFill="1" applyAlignment="1">
      <alignment horizontal="center" vertical="center"/>
    </xf>
    <xf numFmtId="0" fontId="5" fillId="6" borderId="0" xfId="0" applyFont="1" applyFill="1" applyAlignment="1">
      <alignment horizontal="right" vertical="center"/>
    </xf>
    <xf numFmtId="177" fontId="0" fillId="0" borderId="0" xfId="0" applyNumberFormat="1" applyAlignment="1">
      <alignment horizontal="center" vertical="center"/>
    </xf>
    <xf numFmtId="0" fontId="0" fillId="0" borderId="11" xfId="0" applyBorder="1" applyAlignment="1" applyProtection="1">
      <alignment horizontal="center" vertical="center"/>
      <protection locked="0"/>
    </xf>
    <xf numFmtId="2" fontId="3" fillId="0" borderId="1" xfId="0" applyNumberFormat="1" applyFont="1" applyBorder="1" applyAlignment="1" applyProtection="1">
      <alignment horizontal="right" vertical="center"/>
      <protection hidden="1"/>
    </xf>
    <xf numFmtId="0" fontId="3" fillId="0" borderId="0" xfId="0" applyFont="1" applyAlignment="1">
      <alignment vertical="center" textRotation="90" wrapText="1"/>
    </xf>
    <xf numFmtId="0" fontId="21" fillId="0" borderId="0" xfId="0" applyFont="1" applyAlignment="1">
      <alignment vertical="center"/>
    </xf>
    <xf numFmtId="1" fontId="3" fillId="6" borderId="0" xfId="0" applyNumberFormat="1" applyFont="1" applyFill="1" applyAlignment="1">
      <alignment horizontal="center" vertical="center"/>
    </xf>
    <xf numFmtId="3" fontId="3" fillId="6" borderId="11" xfId="0" applyNumberFormat="1" applyFont="1" applyFill="1" applyBorder="1" applyAlignment="1">
      <alignment horizontal="center" vertical="center"/>
    </xf>
    <xf numFmtId="4" fontId="3" fillId="6" borderId="0" xfId="0" applyNumberFormat="1" applyFont="1" applyFill="1" applyAlignment="1">
      <alignment horizontal="right" vertical="center"/>
    </xf>
    <xf numFmtId="0" fontId="3" fillId="4" borderId="4" xfId="0" applyFont="1" applyFill="1" applyBorder="1" applyAlignment="1">
      <alignment vertical="center"/>
    </xf>
    <xf numFmtId="0" fontId="3" fillId="4" borderId="3" xfId="0" applyFont="1" applyFill="1" applyBorder="1" applyAlignment="1">
      <alignment horizontal="right" vertical="center"/>
    </xf>
    <xf numFmtId="0" fontId="4" fillId="4" borderId="0" xfId="0" applyFont="1" applyFill="1" applyAlignment="1">
      <alignment vertical="center"/>
    </xf>
    <xf numFmtId="2" fontId="3" fillId="0" borderId="0" xfId="0" applyNumberFormat="1" applyFont="1" applyAlignment="1">
      <alignment horizontal="right" vertical="center"/>
    </xf>
    <xf numFmtId="0" fontId="4" fillId="4" borderId="6" xfId="0" applyFont="1" applyFill="1" applyBorder="1" applyAlignment="1">
      <alignment vertical="center"/>
    </xf>
    <xf numFmtId="0" fontId="0" fillId="0" borderId="11" xfId="0" applyBorder="1" applyAlignment="1">
      <alignment horizontal="center" vertical="center"/>
    </xf>
    <xf numFmtId="0" fontId="1" fillId="0" borderId="10" xfId="0" applyFont="1" applyBorder="1" applyAlignment="1">
      <alignment vertical="center"/>
    </xf>
    <xf numFmtId="0" fontId="1" fillId="0" borderId="0" xfId="0" applyFont="1" applyAlignment="1">
      <alignment horizontal="left" vertical="center"/>
    </xf>
    <xf numFmtId="0" fontId="3" fillId="0" borderId="10" xfId="0" applyFont="1" applyBorder="1" applyAlignment="1">
      <alignment vertical="center"/>
    </xf>
    <xf numFmtId="0" fontId="3" fillId="0" borderId="10" xfId="0" applyFont="1" applyBorder="1" applyAlignment="1">
      <alignment horizontal="center" vertical="center"/>
    </xf>
    <xf numFmtId="0" fontId="3" fillId="0" borderId="23" xfId="0" applyFont="1" applyBorder="1" applyAlignment="1">
      <alignment vertical="center"/>
    </xf>
    <xf numFmtId="0" fontId="3" fillId="0" borderId="23" xfId="0" applyFont="1" applyBorder="1" applyAlignment="1">
      <alignment horizontal="right" vertical="center"/>
    </xf>
    <xf numFmtId="0" fontId="4" fillId="3" borderId="3" xfId="0" applyFont="1" applyFill="1" applyBorder="1" applyAlignment="1">
      <alignment horizontal="right" vertical="center"/>
    </xf>
    <xf numFmtId="0" fontId="3" fillId="6" borderId="24" xfId="0" applyFont="1" applyFill="1" applyBorder="1" applyAlignment="1">
      <alignment horizontal="center" vertical="center"/>
    </xf>
    <xf numFmtId="0" fontId="3" fillId="0" borderId="6" xfId="0" applyFont="1" applyBorder="1" applyAlignment="1">
      <alignment vertical="center"/>
    </xf>
    <xf numFmtId="0" fontId="3" fillId="4" borderId="25" xfId="0" applyFont="1" applyFill="1" applyBorder="1" applyAlignment="1">
      <alignment vertical="center"/>
    </xf>
    <xf numFmtId="0" fontId="4" fillId="4" borderId="2" xfId="0" applyFont="1" applyFill="1" applyBorder="1" applyAlignment="1">
      <alignment vertical="center"/>
    </xf>
    <xf numFmtId="0" fontId="3" fillId="4" borderId="2" xfId="0" applyFont="1" applyFill="1" applyBorder="1" applyAlignment="1">
      <alignment vertical="center"/>
    </xf>
    <xf numFmtId="0" fontId="3" fillId="4" borderId="2" xfId="0" applyFont="1" applyFill="1" applyBorder="1" applyAlignment="1">
      <alignment horizontal="right" vertical="center"/>
    </xf>
    <xf numFmtId="0" fontId="3" fillId="4" borderId="2" xfId="0" applyFont="1" applyFill="1" applyBorder="1" applyAlignment="1">
      <alignment horizontal="left" vertical="center"/>
    </xf>
    <xf numFmtId="0" fontId="3" fillId="4" borderId="24" xfId="0" applyFont="1" applyFill="1" applyBorder="1" applyAlignment="1">
      <alignment vertical="center"/>
    </xf>
    <xf numFmtId="168" fontId="9" fillId="0" borderId="0" xfId="0" applyNumberFormat="1" applyFont="1" applyAlignment="1">
      <alignment vertical="center"/>
    </xf>
    <xf numFmtId="2" fontId="3" fillId="6" borderId="0" xfId="0" applyNumberFormat="1" applyFont="1" applyFill="1" applyAlignment="1">
      <alignment horizontal="center" vertical="center"/>
    </xf>
    <xf numFmtId="2" fontId="3" fillId="6" borderId="11" xfId="0" applyNumberFormat="1" applyFont="1" applyFill="1" applyBorder="1" applyAlignment="1">
      <alignment horizontal="center" vertical="center"/>
    </xf>
    <xf numFmtId="0" fontId="16" fillId="0" borderId="0" xfId="0" applyFont="1" applyAlignment="1">
      <alignment horizontal="left" vertical="center" wrapText="1"/>
    </xf>
    <xf numFmtId="168" fontId="9" fillId="0" borderId="0" xfId="0" applyNumberFormat="1" applyFont="1" applyAlignment="1">
      <alignment vertical="center"/>
    </xf>
    <xf numFmtId="0" fontId="18" fillId="8" borderId="14" xfId="0" applyFont="1" applyFill="1" applyBorder="1" applyAlignment="1">
      <alignment horizontal="center" vertical="center"/>
    </xf>
    <xf numFmtId="0" fontId="18" fillId="8" borderId="15" xfId="0" applyFont="1" applyFill="1" applyBorder="1" applyAlignment="1">
      <alignment horizontal="center" vertical="center"/>
    </xf>
    <xf numFmtId="0" fontId="9" fillId="0" borderId="0" xfId="0" applyFont="1" applyAlignment="1">
      <alignment horizontal="left" vertical="center" wrapText="1"/>
    </xf>
    <xf numFmtId="173" fontId="3" fillId="0" borderId="1" xfId="0" applyNumberFormat="1" applyFont="1" applyBorder="1" applyAlignment="1" applyProtection="1">
      <alignment horizontal="center" vertical="center"/>
      <protection locked="0"/>
    </xf>
    <xf numFmtId="169" fontId="3" fillId="0" borderId="2" xfId="0" applyNumberFormat="1"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17" fillId="0" borderId="1" xfId="1" applyFont="1" applyBorder="1" applyAlignment="1" applyProtection="1">
      <alignment horizontal="left" vertical="center"/>
      <protection locked="0"/>
    </xf>
    <xf numFmtId="2" fontId="3" fillId="0" borderId="1" xfId="0" applyNumberFormat="1" applyFont="1" applyBorder="1" applyAlignment="1" applyProtection="1">
      <alignment horizontal="right" vertical="center"/>
      <protection locked="0"/>
    </xf>
    <xf numFmtId="164" fontId="3" fillId="0" borderId="1" xfId="0" applyNumberFormat="1" applyFont="1" applyBorder="1" applyAlignment="1" applyProtection="1">
      <alignment horizontal="center" vertical="center"/>
      <protection hidden="1"/>
    </xf>
    <xf numFmtId="0" fontId="2" fillId="0" borderId="0" xfId="0" applyFont="1" applyAlignment="1">
      <alignment horizontal="center" vertical="center" wrapText="1"/>
    </xf>
    <xf numFmtId="164" fontId="3" fillId="0" borderId="1" xfId="0" applyNumberFormat="1" applyFont="1" applyBorder="1" applyAlignment="1" applyProtection="1">
      <alignment horizontal="center" vertical="center"/>
      <protection locked="0"/>
    </xf>
    <xf numFmtId="165" fontId="3" fillId="0" borderId="1" xfId="0" applyNumberFormat="1" applyFont="1" applyBorder="1" applyAlignment="1" applyProtection="1">
      <alignment horizontal="right" vertical="center"/>
      <protection locked="0"/>
    </xf>
    <xf numFmtId="178" fontId="3" fillId="0" borderId="1" xfId="0" applyNumberFormat="1" applyFont="1" applyBorder="1" applyAlignment="1" applyProtection="1">
      <alignment horizontal="right" vertical="center"/>
      <protection locked="0"/>
    </xf>
    <xf numFmtId="171"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protection hidden="1"/>
    </xf>
    <xf numFmtId="2" fontId="3" fillId="0" borderId="0" xfId="0" applyNumberFormat="1" applyFont="1" applyAlignment="1">
      <alignment horizontal="right" vertical="center"/>
    </xf>
    <xf numFmtId="0" fontId="8" fillId="0" borderId="0" xfId="0" applyFont="1" applyAlignment="1">
      <alignment horizontal="left" vertical="center"/>
    </xf>
    <xf numFmtId="4" fontId="3" fillId="0" borderId="1" xfId="0" applyNumberFormat="1" applyFont="1" applyBorder="1" applyAlignment="1" applyProtection="1">
      <alignment horizontal="right" vertical="center"/>
      <protection locked="0"/>
    </xf>
    <xf numFmtId="0" fontId="3" fillId="0" borderId="0" xfId="0" applyFont="1" applyAlignment="1">
      <alignment horizontal="center" vertical="center"/>
    </xf>
    <xf numFmtId="0" fontId="3" fillId="0" borderId="4"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center"/>
      <protection hidden="1"/>
    </xf>
    <xf numFmtId="0" fontId="3" fillId="0" borderId="0" xfId="0" applyFont="1" applyAlignment="1" applyProtection="1">
      <alignment horizontal="center" vertical="center"/>
      <protection locked="0"/>
    </xf>
    <xf numFmtId="167" fontId="12" fillId="0" borderId="0" xfId="0" applyNumberFormat="1" applyFont="1" applyAlignment="1">
      <alignment horizontal="left" vertical="center"/>
    </xf>
    <xf numFmtId="0" fontId="3" fillId="0" borderId="0" xfId="0" applyFont="1" applyAlignment="1">
      <alignment horizontal="left" vertical="center" wrapText="1"/>
    </xf>
    <xf numFmtId="2" fontId="3" fillId="0" borderId="1" xfId="0" applyNumberFormat="1" applyFont="1" applyBorder="1" applyAlignment="1">
      <alignment horizontal="right" vertical="center"/>
    </xf>
    <xf numFmtId="2" fontId="3" fillId="0" borderId="1" xfId="0" applyNumberFormat="1" applyFont="1" applyBorder="1" applyAlignment="1" applyProtection="1">
      <alignment horizontal="right" vertical="center"/>
      <protection locked="0" hidden="1"/>
    </xf>
    <xf numFmtId="0" fontId="5" fillId="4" borderId="0" xfId="0" applyFont="1" applyFill="1" applyAlignment="1">
      <alignment horizontal="left" vertical="center"/>
    </xf>
    <xf numFmtId="2" fontId="3" fillId="0" borderId="1" xfId="0" applyNumberFormat="1" applyFont="1" applyBorder="1" applyAlignment="1" applyProtection="1">
      <alignment horizontal="right" vertical="center"/>
      <protection hidden="1"/>
    </xf>
    <xf numFmtId="0" fontId="3" fillId="0" borderId="1" xfId="0" applyFont="1" applyBorder="1" applyAlignment="1" applyProtection="1">
      <alignment horizontal="center" vertical="center"/>
      <protection locked="0"/>
    </xf>
    <xf numFmtId="172" fontId="3" fillId="0" borderId="1" xfId="0" applyNumberFormat="1" applyFont="1" applyBorder="1" applyAlignment="1" applyProtection="1">
      <alignment horizontal="center" vertical="center"/>
      <protection locked="0"/>
    </xf>
    <xf numFmtId="0" fontId="5" fillId="3" borderId="0" xfId="0" applyFont="1" applyFill="1" applyAlignment="1">
      <alignment horizontal="left" vertical="center"/>
    </xf>
    <xf numFmtId="0" fontId="6" fillId="0" borderId="2" xfId="1" applyBorder="1" applyAlignment="1" applyProtection="1">
      <alignment horizontal="left" vertical="center"/>
      <protection locked="0"/>
    </xf>
    <xf numFmtId="0" fontId="3" fillId="0" borderId="2" xfId="0" applyFont="1" applyBorder="1" applyAlignment="1" applyProtection="1">
      <alignment horizontal="left" vertical="center"/>
      <protection hidden="1"/>
    </xf>
    <xf numFmtId="0" fontId="3" fillId="0" borderId="1" xfId="0" applyFont="1" applyBorder="1" applyAlignment="1">
      <alignment horizontal="left" vertical="center"/>
    </xf>
    <xf numFmtId="2" fontId="3" fillId="0" borderId="2" xfId="0" applyNumberFormat="1" applyFont="1" applyBorder="1" applyAlignment="1" applyProtection="1">
      <alignment horizontal="right" vertical="center"/>
      <protection hidden="1"/>
    </xf>
    <xf numFmtId="169" fontId="3" fillId="0" borderId="2" xfId="0" applyNumberFormat="1" applyFont="1" applyBorder="1" applyAlignment="1" applyProtection="1">
      <alignment horizontal="center" vertical="center"/>
      <protection locked="0"/>
    </xf>
    <xf numFmtId="169" fontId="3" fillId="0" borderId="1" xfId="0" applyNumberFormat="1" applyFont="1" applyBorder="1" applyAlignment="1" applyProtection="1">
      <alignment horizontal="center" vertical="center"/>
      <protection locked="0"/>
    </xf>
    <xf numFmtId="164" fontId="3" fillId="3" borderId="2" xfId="0" applyNumberFormat="1" applyFont="1" applyFill="1" applyBorder="1" applyAlignment="1">
      <alignment horizontal="center" vertical="center"/>
    </xf>
    <xf numFmtId="164" fontId="3" fillId="3" borderId="24" xfId="0" applyNumberFormat="1" applyFont="1" applyFill="1" applyBorder="1" applyAlignment="1">
      <alignment horizontal="center" vertical="center"/>
    </xf>
    <xf numFmtId="0" fontId="3" fillId="0" borderId="1" xfId="0" applyFont="1" applyBorder="1" applyAlignment="1" applyProtection="1">
      <alignment horizontal="left" vertical="center"/>
      <protection locked="0" hidden="1"/>
    </xf>
    <xf numFmtId="2" fontId="3" fillId="0" borderId="2" xfId="0" applyNumberFormat="1" applyFont="1" applyBorder="1" applyAlignment="1" applyProtection="1">
      <alignment horizontal="right" vertical="center"/>
      <protection locked="0" hidden="1"/>
    </xf>
    <xf numFmtId="165" fontId="3" fillId="0" borderId="1" xfId="0" applyNumberFormat="1" applyFont="1" applyBorder="1" applyAlignment="1" applyProtection="1">
      <alignment horizontal="right" vertical="center"/>
      <protection hidden="1"/>
    </xf>
    <xf numFmtId="164" fontId="3" fillId="0" borderId="2" xfId="0" applyNumberFormat="1" applyFont="1" applyBorder="1" applyAlignment="1" applyProtection="1">
      <alignment horizontal="center" vertical="center"/>
      <protection locked="0"/>
    </xf>
    <xf numFmtId="173" fontId="3" fillId="0" borderId="1" xfId="0" applyNumberFormat="1" applyFont="1" applyBorder="1" applyAlignment="1">
      <alignment horizontal="center" vertical="center"/>
    </xf>
    <xf numFmtId="170" fontId="3" fillId="0" borderId="1" xfId="0" applyNumberFormat="1" applyFont="1" applyBorder="1" applyAlignment="1" applyProtection="1">
      <alignment horizontal="center" vertical="center"/>
      <protection locked="0"/>
    </xf>
  </cellXfs>
  <cellStyles count="2">
    <cellStyle name="Hyperlink" xfId="1" builtinId="8"/>
    <cellStyle name="Normal" xfId="0" builtinId="0"/>
  </cellStyles>
  <dxfs count="152">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border>
        <bottom style="thin">
          <color auto="1"/>
        </bottom>
        <vertical/>
        <horizontal/>
      </border>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alignment horizontal="right" vertical="center" textRotation="0" wrapText="0" indent="0" justifyLastLine="0" shrinkToFit="0" readingOrder="0"/>
    </dxf>
    <dxf>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emf"/><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7.emf"/><Relationship Id="rId1" Type="http://schemas.openxmlformats.org/officeDocument/2006/relationships/image" Target="../media/image11.png"/><Relationship Id="rId4" Type="http://schemas.openxmlformats.org/officeDocument/2006/relationships/image" Target="../media/image13.pn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editAs="oneCell">
    <xdr:from>
      <xdr:col>7</xdr:col>
      <xdr:colOff>318892</xdr:colOff>
      <xdr:row>45</xdr:row>
      <xdr:rowOff>42710</xdr:rowOff>
    </xdr:from>
    <xdr:to>
      <xdr:col>7</xdr:col>
      <xdr:colOff>1182492</xdr:colOff>
      <xdr:row>45</xdr:row>
      <xdr:rowOff>779674</xdr:rowOff>
    </xdr:to>
    <xdr:pic>
      <xdr:nvPicPr>
        <xdr:cNvPr id="7" name="Picture 6">
          <a:extLst>
            <a:ext uri="{FF2B5EF4-FFF2-40B4-BE49-F238E27FC236}">
              <a16:creationId xmlns:a16="http://schemas.microsoft.com/office/drawing/2014/main" id="{993E7F6A-B6E9-41E9-A542-7BEF39FA14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121272" y="9773450"/>
          <a:ext cx="863600" cy="752204"/>
        </a:xfrm>
        <a:prstGeom prst="rect">
          <a:avLst/>
        </a:prstGeom>
        <a:noFill/>
        <a:ln>
          <a:noFill/>
        </a:ln>
      </xdr:spPr>
    </xdr:pic>
    <xdr:clientData/>
  </xdr:twoCellAnchor>
  <xdr:twoCellAnchor editAs="oneCell">
    <xdr:from>
      <xdr:col>5</xdr:col>
      <xdr:colOff>11553</xdr:colOff>
      <xdr:row>44</xdr:row>
      <xdr:rowOff>9521</xdr:rowOff>
    </xdr:from>
    <xdr:to>
      <xdr:col>5</xdr:col>
      <xdr:colOff>1028700</xdr:colOff>
      <xdr:row>45</xdr:row>
      <xdr:rowOff>16542</xdr:rowOff>
    </xdr:to>
    <xdr:pic>
      <xdr:nvPicPr>
        <xdr:cNvPr id="10" name="Picture 9">
          <a:extLst>
            <a:ext uri="{FF2B5EF4-FFF2-40B4-BE49-F238E27FC236}">
              <a16:creationId xmlns:a16="http://schemas.microsoft.com/office/drawing/2014/main" id="{3D73E453-C06D-4DD4-83A3-B9E5258DAA2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4082" b="7320"/>
        <a:stretch>
          <a:fillRect/>
        </a:stretch>
      </xdr:blipFill>
      <xdr:spPr bwMode="auto">
        <a:xfrm>
          <a:off x="6169466" y="11187109"/>
          <a:ext cx="1017147" cy="819503"/>
        </a:xfrm>
        <a:prstGeom prst="rect">
          <a:avLst/>
        </a:prstGeom>
        <a:noFill/>
        <a:ln>
          <a:noFill/>
        </a:ln>
      </xdr:spPr>
    </xdr:pic>
    <xdr:clientData/>
  </xdr:twoCellAnchor>
  <xdr:twoCellAnchor editAs="oneCell">
    <xdr:from>
      <xdr:col>5</xdr:col>
      <xdr:colOff>7930</xdr:colOff>
      <xdr:row>40</xdr:row>
      <xdr:rowOff>25081</xdr:rowOff>
    </xdr:from>
    <xdr:to>
      <xdr:col>5</xdr:col>
      <xdr:colOff>800100</xdr:colOff>
      <xdr:row>41</xdr:row>
      <xdr:rowOff>1245</xdr:rowOff>
    </xdr:to>
    <xdr:pic>
      <xdr:nvPicPr>
        <xdr:cNvPr id="11" name="Picture 10">
          <a:extLst>
            <a:ext uri="{FF2B5EF4-FFF2-40B4-BE49-F238E27FC236}">
              <a16:creationId xmlns:a16="http://schemas.microsoft.com/office/drawing/2014/main" id="{10E5F845-1F03-4F4D-B2BC-B05710ABA2B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65843" y="7907019"/>
          <a:ext cx="792170" cy="795314"/>
        </a:xfrm>
        <a:prstGeom prst="rect">
          <a:avLst/>
        </a:prstGeom>
        <a:ln>
          <a:noFill/>
        </a:ln>
      </xdr:spPr>
    </xdr:pic>
    <xdr:clientData/>
  </xdr:twoCellAnchor>
  <xdr:twoCellAnchor editAs="oneCell">
    <xdr:from>
      <xdr:col>5</xdr:col>
      <xdr:colOff>8844</xdr:colOff>
      <xdr:row>43</xdr:row>
      <xdr:rowOff>11907</xdr:rowOff>
    </xdr:from>
    <xdr:to>
      <xdr:col>5</xdr:col>
      <xdr:colOff>929640</xdr:colOff>
      <xdr:row>44</xdr:row>
      <xdr:rowOff>19960</xdr:rowOff>
    </xdr:to>
    <xdr:pic>
      <xdr:nvPicPr>
        <xdr:cNvPr id="12" name="Picture 11">
          <a:extLst>
            <a:ext uri="{FF2B5EF4-FFF2-40B4-BE49-F238E27FC236}">
              <a16:creationId xmlns:a16="http://schemas.microsoft.com/office/drawing/2014/main" id="{8C985F67-4DC8-4915-81E3-E884CD504AF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6166757" y="10365582"/>
          <a:ext cx="924606" cy="818631"/>
        </a:xfrm>
        <a:prstGeom prst="rect">
          <a:avLst/>
        </a:prstGeom>
        <a:noFill/>
        <a:ln>
          <a:noFill/>
        </a:ln>
      </xdr:spPr>
    </xdr:pic>
    <xdr:clientData/>
  </xdr:twoCellAnchor>
  <xdr:twoCellAnchor editAs="oneCell">
    <xdr:from>
      <xdr:col>5</xdr:col>
      <xdr:colOff>28443</xdr:colOff>
      <xdr:row>41</xdr:row>
      <xdr:rowOff>14603</xdr:rowOff>
    </xdr:from>
    <xdr:to>
      <xdr:col>5</xdr:col>
      <xdr:colOff>857250</xdr:colOff>
      <xdr:row>42</xdr:row>
      <xdr:rowOff>199</xdr:rowOff>
    </xdr:to>
    <xdr:pic>
      <xdr:nvPicPr>
        <xdr:cNvPr id="13" name="Picture 12" descr="Logo&#10;&#10;Description automatically generated">
          <a:extLst>
            <a:ext uri="{FF2B5EF4-FFF2-40B4-BE49-F238E27FC236}">
              <a16:creationId xmlns:a16="http://schemas.microsoft.com/office/drawing/2014/main" id="{2AC825A1-53E2-45A8-8241-FC60494996E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186356" y="8720453"/>
          <a:ext cx="819282" cy="804746"/>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6</xdr:col>
          <xdr:colOff>353386</xdr:colOff>
          <xdr:row>39</xdr:row>
          <xdr:rowOff>546</xdr:rowOff>
        </xdr:from>
        <xdr:to>
          <xdr:col>7</xdr:col>
          <xdr:colOff>1391611</xdr:colOff>
          <xdr:row>40</xdr:row>
          <xdr:rowOff>546</xdr:rowOff>
        </xdr:to>
        <xdr:pic>
          <xdr:nvPicPr>
            <xdr:cNvPr id="15" name="Picture 14">
              <a:extLst>
                <a:ext uri="{FF2B5EF4-FFF2-40B4-BE49-F238E27FC236}">
                  <a16:creationId xmlns:a16="http://schemas.microsoft.com/office/drawing/2014/main" id="{2C890635-FD55-45B4-91BB-696BDB8A3020}"/>
                </a:ext>
              </a:extLst>
            </xdr:cNvPr>
            <xdr:cNvPicPr>
              <a:picLocks noChangeAspect="1"/>
              <a:extLst>
                <a:ext uri="{84589F7E-364E-4C9E-8A38-B11213B215E9}">
                  <a14:cameraTool cellRange="Logo" spid="_x0000_s20463"/>
                </a:ext>
              </a:extLst>
            </xdr:cNvPicPr>
          </xdr:nvPicPr>
          <xdr:blipFill rotWithShape="1">
            <a:blip xmlns:r="http://schemas.openxmlformats.org/officeDocument/2006/relationships" r:embed="rId6"/>
            <a:stretch>
              <a:fillRect/>
            </a:stretch>
          </xdr:blipFill>
          <xdr:spPr bwMode="auto">
            <a:xfrm>
              <a:off x="7935286" y="7058571"/>
              <a:ext cx="1428750" cy="819150"/>
            </a:xfrm>
            <a:prstGeom prst="rect">
              <a:avLst/>
            </a:prstGeom>
            <a:noFill/>
            <a:ln>
              <a:noFill/>
            </a:ln>
          </xdr:spPr>
        </xdr:pic>
        <xdr:clientData/>
      </xdr:twoCellAnchor>
    </mc:Choice>
    <mc:Fallback/>
  </mc:AlternateContent>
  <xdr:twoCellAnchor editAs="oneCell">
    <xdr:from>
      <xdr:col>5</xdr:col>
      <xdr:colOff>10473</xdr:colOff>
      <xdr:row>45</xdr:row>
      <xdr:rowOff>201928</xdr:rowOff>
    </xdr:from>
    <xdr:to>
      <xdr:col>5</xdr:col>
      <xdr:colOff>1352269</xdr:colOff>
      <xdr:row>45</xdr:row>
      <xdr:rowOff>688271</xdr:rowOff>
    </xdr:to>
    <xdr:pic>
      <xdr:nvPicPr>
        <xdr:cNvPr id="2" name="Picture 1">
          <a:extLst>
            <a:ext uri="{FF2B5EF4-FFF2-40B4-BE49-F238E27FC236}">
              <a16:creationId xmlns:a16="http://schemas.microsoft.com/office/drawing/2014/main" id="{4395E017-A77F-4E1A-9D4E-4F0205ABE5A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6168386" y="12203428"/>
          <a:ext cx="1355131" cy="482533"/>
        </a:xfrm>
        <a:prstGeom prst="rect">
          <a:avLst/>
        </a:prstGeom>
      </xdr:spPr>
    </xdr:pic>
    <xdr:clientData/>
  </xdr:twoCellAnchor>
  <xdr:twoCellAnchor editAs="oneCell">
    <xdr:from>
      <xdr:col>4</xdr:col>
      <xdr:colOff>323847</xdr:colOff>
      <xdr:row>38</xdr:row>
      <xdr:rowOff>173353</xdr:rowOff>
    </xdr:from>
    <xdr:to>
      <xdr:col>5</xdr:col>
      <xdr:colOff>861059</xdr:colOff>
      <xdr:row>40</xdr:row>
      <xdr:rowOff>17453</xdr:rowOff>
    </xdr:to>
    <xdr:pic>
      <xdr:nvPicPr>
        <xdr:cNvPr id="6" name="Picture 5">
          <a:extLst>
            <a:ext uri="{FF2B5EF4-FFF2-40B4-BE49-F238E27FC236}">
              <a16:creationId xmlns:a16="http://schemas.microsoft.com/office/drawing/2014/main" id="{B47AD404-B9CA-6789-3D0A-53282B17D8DD}"/>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6153147" y="7050403"/>
          <a:ext cx="862015" cy="85279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32</xdr:col>
      <xdr:colOff>43815</xdr:colOff>
      <xdr:row>57</xdr:row>
      <xdr:rowOff>40005</xdr:rowOff>
    </xdr:from>
    <xdr:to>
      <xdr:col>35</xdr:col>
      <xdr:colOff>131825</xdr:colOff>
      <xdr:row>58</xdr:row>
      <xdr:rowOff>113274</xdr:rowOff>
    </xdr:to>
    <xdr:pic>
      <xdr:nvPicPr>
        <xdr:cNvPr id="9" name="Picture 8">
          <a:extLst>
            <a:ext uri="{FF2B5EF4-FFF2-40B4-BE49-F238E27FC236}">
              <a16:creationId xmlns:a16="http://schemas.microsoft.com/office/drawing/2014/main" id="{B0BE7FD3-1275-479F-80D1-3C983C2323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315" y="8872855"/>
          <a:ext cx="659510" cy="26376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54610</xdr:colOff>
          <xdr:row>3</xdr:row>
          <xdr:rowOff>174747</xdr:rowOff>
        </xdr:to>
        <xdr:pic>
          <xdr:nvPicPr>
            <xdr:cNvPr id="2" name="Picture 1">
              <a:extLst>
                <a:ext uri="{FF2B5EF4-FFF2-40B4-BE49-F238E27FC236}">
                  <a16:creationId xmlns:a16="http://schemas.microsoft.com/office/drawing/2014/main" id="{7186B492-6E70-4EE0-ADFC-D95A1F4396F1}"/>
                </a:ext>
              </a:extLst>
            </xdr:cNvPr>
            <xdr:cNvPicPr>
              <a:picLocks noChangeAspect="1"/>
              <a:extLst>
                <a:ext uri="{84589F7E-364E-4C9E-8A38-B11213B215E9}">
                  <a14:cameraTool cellRange="Logo" spid="_x0000_s33623"/>
                </a:ext>
              </a:extLst>
            </xdr:cNvPicPr>
          </xdr:nvPicPr>
          <xdr:blipFill rotWithShape="1">
            <a:blip xmlns:r="http://schemas.openxmlformats.org/officeDocument/2006/relationships" r:embed="rId2"/>
            <a:stretch>
              <a:fillRect/>
            </a:stretch>
          </xdr:blipFill>
          <xdr:spPr bwMode="auto">
            <a:xfrm>
              <a:off x="0" y="0"/>
              <a:ext cx="1320800" cy="757677"/>
            </a:xfrm>
            <a:prstGeom prst="rect">
              <a:avLst/>
            </a:prstGeom>
            <a:noFill/>
            <a:ln>
              <a:noFill/>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111941</xdr:colOff>
          <xdr:row>0</xdr:row>
          <xdr:rowOff>1</xdr:rowOff>
        </xdr:from>
        <xdr:to>
          <xdr:col>50</xdr:col>
          <xdr:colOff>20098</xdr:colOff>
          <xdr:row>4</xdr:row>
          <xdr:rowOff>1</xdr:rowOff>
        </xdr:to>
        <xdr:pic>
          <xdr:nvPicPr>
            <xdr:cNvPr id="4" name="Picture 3">
              <a:extLst>
                <a:ext uri="{FF2B5EF4-FFF2-40B4-BE49-F238E27FC236}">
                  <a16:creationId xmlns:a16="http://schemas.microsoft.com/office/drawing/2014/main" id="{C2534FD7-DB09-4ADD-885B-A20826857FEF}"/>
                </a:ext>
              </a:extLst>
            </xdr:cNvPr>
            <xdr:cNvPicPr>
              <a:picLocks noChangeAspect="1"/>
              <a:extLst>
                <a:ext uri="{84589F7E-364E-4C9E-8A38-B11213B215E9}">
                  <a14:cameraTool cellRange="Logo" spid="_x0000_s33624"/>
                </a:ext>
              </a:extLst>
            </xdr:cNvPicPr>
          </xdr:nvPicPr>
          <xdr:blipFill rotWithShape="1">
            <a:blip xmlns:r="http://schemas.openxmlformats.org/officeDocument/2006/relationships" r:embed="rId2"/>
            <a:stretch>
              <a:fillRect/>
            </a:stretch>
          </xdr:blipFill>
          <xdr:spPr bwMode="auto">
            <a:xfrm>
              <a:off x="7096941" y="1"/>
              <a:ext cx="1315317" cy="762000"/>
            </a:xfrm>
            <a:prstGeom prst="rect">
              <a:avLst/>
            </a:prstGeom>
            <a:noFill/>
            <a:ln>
              <a:noFill/>
            </a:ln>
          </xdr:spPr>
        </xdr:pic>
        <xdr:clientData/>
      </xdr:twoCellAnchor>
    </mc:Choice>
    <mc:Fallback/>
  </mc:AlternateContent>
  <xdr:oneCellAnchor>
    <xdr:from>
      <xdr:col>32</xdr:col>
      <xdr:colOff>12065</xdr:colOff>
      <xdr:row>101</xdr:row>
      <xdr:rowOff>78740</xdr:rowOff>
    </xdr:from>
    <xdr:ext cx="707488" cy="259080"/>
    <xdr:pic>
      <xdr:nvPicPr>
        <xdr:cNvPr id="5" name="Picture 4">
          <a:extLst>
            <a:ext uri="{FF2B5EF4-FFF2-40B4-BE49-F238E27FC236}">
              <a16:creationId xmlns:a16="http://schemas.microsoft.com/office/drawing/2014/main" id="{21E0A726-982C-4E89-AEC0-2635B52A9C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044565" y="17947640"/>
          <a:ext cx="707488" cy="259080"/>
        </a:xfrm>
        <a:prstGeom prst="rect">
          <a:avLst/>
        </a:prstGeom>
      </xdr:spPr>
    </xdr:pic>
    <xdr:clientData/>
  </xdr:oneCellAnchor>
  <xdr:twoCellAnchor editAs="oneCell">
    <xdr:from>
      <xdr:col>45</xdr:col>
      <xdr:colOff>20271</xdr:colOff>
      <xdr:row>43</xdr:row>
      <xdr:rowOff>23983</xdr:rowOff>
    </xdr:from>
    <xdr:to>
      <xdr:col>77</xdr:col>
      <xdr:colOff>130016</xdr:colOff>
      <xdr:row>67</xdr:row>
      <xdr:rowOff>20171</xdr:rowOff>
    </xdr:to>
    <xdr:pic>
      <xdr:nvPicPr>
        <xdr:cNvPr id="6" name="Picture 5">
          <a:extLst>
            <a:ext uri="{FF2B5EF4-FFF2-40B4-BE49-F238E27FC236}">
              <a16:creationId xmlns:a16="http://schemas.microsoft.com/office/drawing/2014/main" id="{862E40BB-D813-14B8-A06F-9C2CECE3E47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449771" y="6420387"/>
          <a:ext cx="6194315" cy="4293282"/>
        </a:xfrm>
        <a:prstGeom prst="rect">
          <a:avLst/>
        </a:prstGeom>
      </xdr:spPr>
    </xdr:pic>
    <xdr:clientData/>
  </xdr:twoCellAnchor>
  <xdr:twoCellAnchor>
    <xdr:from>
      <xdr:col>26</xdr:col>
      <xdr:colOff>22860</xdr:colOff>
      <xdr:row>19</xdr:row>
      <xdr:rowOff>76200</xdr:rowOff>
    </xdr:from>
    <xdr:to>
      <xdr:col>26</xdr:col>
      <xdr:colOff>175260</xdr:colOff>
      <xdr:row>19</xdr:row>
      <xdr:rowOff>129540</xdr:rowOff>
    </xdr:to>
    <xdr:sp macro="" textlink="">
      <xdr:nvSpPr>
        <xdr:cNvPr id="3" name="Arrow: Left 2">
          <a:extLst>
            <a:ext uri="{FF2B5EF4-FFF2-40B4-BE49-F238E27FC236}">
              <a16:creationId xmlns:a16="http://schemas.microsoft.com/office/drawing/2014/main" id="{1B0ED7AD-1E07-A0D3-1759-37BC06C1DDED}"/>
            </a:ext>
          </a:extLst>
        </xdr:cNvPr>
        <xdr:cNvSpPr/>
      </xdr:nvSpPr>
      <xdr:spPr>
        <a:xfrm>
          <a:off x="4911090" y="2865120"/>
          <a:ext cx="152400" cy="5334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33</xdr:col>
      <xdr:colOff>53340</xdr:colOff>
      <xdr:row>49</xdr:row>
      <xdr:rowOff>54610</xdr:rowOff>
    </xdr:from>
    <xdr:ext cx="707488" cy="259080"/>
    <xdr:pic>
      <xdr:nvPicPr>
        <xdr:cNvPr id="7" name="Picture 6">
          <a:extLst>
            <a:ext uri="{FF2B5EF4-FFF2-40B4-BE49-F238E27FC236}">
              <a16:creationId xmlns:a16="http://schemas.microsoft.com/office/drawing/2014/main" id="{DAA5B764-0289-405B-B4B4-44E11C22C4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3790" y="17377410"/>
          <a:ext cx="707488" cy="259080"/>
        </a:xfrm>
        <a:prstGeom prst="rect">
          <a:avLst/>
        </a:prstGeom>
      </xdr:spPr>
    </xdr:pic>
    <xdr:clientData/>
  </xdr:oneCellAnchor>
  <xdr:oneCellAnchor>
    <xdr:from>
      <xdr:col>33</xdr:col>
      <xdr:colOff>72390</xdr:colOff>
      <xdr:row>100</xdr:row>
      <xdr:rowOff>83185</xdr:rowOff>
    </xdr:from>
    <xdr:ext cx="707488" cy="259080"/>
    <xdr:pic>
      <xdr:nvPicPr>
        <xdr:cNvPr id="8" name="Picture 7">
          <a:extLst>
            <a:ext uri="{FF2B5EF4-FFF2-40B4-BE49-F238E27FC236}">
              <a16:creationId xmlns:a16="http://schemas.microsoft.com/office/drawing/2014/main" id="{3808CA13-CB24-4776-AF37-59C2D6A983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12840" y="25921335"/>
          <a:ext cx="70748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44</xdr:col>
          <xdr:colOff>17961</xdr:colOff>
          <xdr:row>0</xdr:row>
          <xdr:rowOff>0</xdr:rowOff>
        </xdr:from>
        <xdr:to>
          <xdr:col>50</xdr:col>
          <xdr:colOff>17780</xdr:colOff>
          <xdr:row>4</xdr:row>
          <xdr:rowOff>15315</xdr:rowOff>
        </xdr:to>
        <xdr:pic>
          <xdr:nvPicPr>
            <xdr:cNvPr id="2" name="Picture 1">
              <a:extLst>
                <a:ext uri="{FF2B5EF4-FFF2-40B4-BE49-F238E27FC236}">
                  <a16:creationId xmlns:a16="http://schemas.microsoft.com/office/drawing/2014/main" id="{43250CB7-4703-415A-863F-82FC5F5634D0}"/>
                </a:ext>
              </a:extLst>
            </xdr:cNvPr>
            <xdr:cNvPicPr>
              <a:picLocks noChangeAspect="1"/>
              <a:extLst>
                <a:ext uri="{84589F7E-364E-4C9E-8A38-B11213B215E9}">
                  <a14:cameraTool cellRange="Logo" spid="_x0000_s37636"/>
                </a:ext>
              </a:extLst>
            </xdr:cNvPicPr>
          </xdr:nvPicPr>
          <xdr:blipFill rotWithShape="1">
            <a:blip xmlns:r="http://schemas.openxmlformats.org/officeDocument/2006/relationships" r:embed="rId2"/>
            <a:stretch>
              <a:fillRect/>
            </a:stretch>
          </xdr:blipFill>
          <xdr:spPr bwMode="auto">
            <a:xfrm>
              <a:off x="7491911" y="0"/>
              <a:ext cx="1359989" cy="771600"/>
            </a:xfrm>
            <a:prstGeom prst="rect">
              <a:avLst/>
            </a:prstGeom>
            <a:noFill/>
            <a:ln>
              <a:noFill/>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18933</xdr:colOff>
          <xdr:row>4</xdr:row>
          <xdr:rowOff>0</xdr:rowOff>
        </xdr:to>
        <xdr:pic>
          <xdr:nvPicPr>
            <xdr:cNvPr id="3" name="Picture 2">
              <a:extLst>
                <a:ext uri="{FF2B5EF4-FFF2-40B4-BE49-F238E27FC236}">
                  <a16:creationId xmlns:a16="http://schemas.microsoft.com/office/drawing/2014/main" id="{CD3EC917-351B-4FF6-B505-E2498D002C0B}"/>
                </a:ext>
              </a:extLst>
            </xdr:cNvPr>
            <xdr:cNvPicPr>
              <a:picLocks noChangeAspect="1"/>
              <a:extLst>
                <a:ext uri="{84589F7E-364E-4C9E-8A38-B11213B215E9}">
                  <a14:cameraTool cellRange="Logo" spid="_x0000_s37637"/>
                </a:ext>
              </a:extLst>
            </xdr:cNvPicPr>
          </xdr:nvPicPr>
          <xdr:blipFill rotWithShape="1">
            <a:blip xmlns:r="http://schemas.openxmlformats.org/officeDocument/2006/relationships" r:embed="rId2"/>
            <a:stretch>
              <a:fillRect/>
            </a:stretch>
          </xdr:blipFill>
          <xdr:spPr bwMode="auto">
            <a:xfrm>
              <a:off x="1" y="0"/>
              <a:ext cx="1330842" cy="762000"/>
            </a:xfrm>
            <a:prstGeom prst="rect">
              <a:avLst/>
            </a:prstGeom>
            <a:noFill/>
            <a:ln>
              <a:noFill/>
            </a:ln>
          </xdr:spPr>
        </xdr:pic>
        <xdr:clientData/>
      </xdr:twoCellAnchor>
    </mc:Choice>
    <mc:Fallback/>
  </mc:AlternateContent>
  <xdr:oneCellAnchor>
    <xdr:from>
      <xdr:col>33</xdr:col>
      <xdr:colOff>82550</xdr:colOff>
      <xdr:row>145</xdr:row>
      <xdr:rowOff>102235</xdr:rowOff>
    </xdr:from>
    <xdr:ext cx="707488" cy="259080"/>
    <xdr:pic>
      <xdr:nvPicPr>
        <xdr:cNvPr id="5" name="Picture 4">
          <a:extLst>
            <a:ext uri="{FF2B5EF4-FFF2-40B4-BE49-F238E27FC236}">
              <a16:creationId xmlns:a16="http://schemas.microsoft.com/office/drawing/2014/main" id="{391F6408-9FDD-4090-BCC8-7A73BB56C5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3000" y="34322385"/>
          <a:ext cx="707488" cy="259080"/>
        </a:xfrm>
        <a:prstGeom prst="rect">
          <a:avLst/>
        </a:prstGeom>
      </xdr:spPr>
    </xdr:pic>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headerRowDxfId="151" dataDxfId="150">
  <autoFilter ref="D1:D10" xr:uid="{4350EFB0-EACE-4F2E-965F-30EBADAB0D63}"/>
  <sortState xmlns:xlrd2="http://schemas.microsoft.com/office/spreadsheetml/2017/richdata2" ref="D2:D10">
    <sortCondition ref="D2:D10"/>
  </sortState>
  <tableColumns count="1">
    <tableColumn id="1" xr3:uid="{20635FEE-B87A-4613-8116-D42DBA41BC7B}" name="Material" dataDxfId="14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1" totalsRowShown="0" headerRowDxfId="148" dataDxfId="147">
  <autoFilter ref="F1:F11" xr:uid="{6939741E-8EC4-48CA-B62A-CDE619601AF9}"/>
  <sortState xmlns:xlrd2="http://schemas.microsoft.com/office/spreadsheetml/2017/richdata2" ref="F2:F11">
    <sortCondition ref="F2:F11"/>
  </sortState>
  <tableColumns count="1">
    <tableColumn id="1" xr3:uid="{FCA45FDF-4BF6-485F-9343-A0FC0251070A}" name="Shape" dataDxfId="14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5" totalsRowShown="0" headerRowDxfId="145" dataDxfId="144">
  <autoFilter ref="H1:H5" xr:uid="{2397A227-8DCB-4BDE-A6B8-65F88654921D}"/>
  <tableColumns count="1">
    <tableColumn id="1" xr3:uid="{027BD434-05A1-4059-97D8-98CB878E91EF}" name="Type" dataDxfId="14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_Response" displayName="T_Response" ref="J1:J21" totalsRowShown="0" headerRowDxfId="142" dataDxfId="141">
  <autoFilter ref="J1:J21" xr:uid="{88C10C78-AF29-47BA-9C97-B74BAA8C7E1E}"/>
  <tableColumns count="1">
    <tableColumn id="1" xr3:uid="{C70FD3B5-6EE9-47D3-96F9-BC5D876984C6}" name="Design Response" dataDxfId="14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B261821-00BA-47C6-9966-09F0C61A53D6}" name="OP" displayName="OP" ref="H8:H14" totalsRowShown="0" headerRowDxfId="139" dataDxfId="138">
  <autoFilter ref="H8:H14" xr:uid="{DB261821-00BA-47C6-9966-09F0C61A53D6}"/>
  <tableColumns count="1">
    <tableColumn id="1" xr3:uid="{62346A3B-A68D-4C87-9BFA-2C1AE1C31679}" name="Outlet Protection" dataDxfId="13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A3E2B9A-CDE6-4AED-B4C1-3F05B3376F37}" name="Storms" displayName="Storms" ref="K26:L32" totalsRowShown="0" headerRowDxfId="136">
  <autoFilter ref="K26:L32" xr:uid="{DA3E2B9A-CDE6-4AED-B4C1-3F05B3376F37}"/>
  <tableColumns count="2">
    <tableColumn id="1" xr3:uid="{D6C0B03A-3B69-43AC-BB12-3F71109D27B6}" name="Known or Adj Storm" dataDxfId="135"/>
    <tableColumn id="2" xr3:uid="{4E43272E-4428-4B6C-A6E9-657F071A2134}" name="Requirements" dataDxfId="13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6D2F5D8-A49A-45E4-A412-5EB745DB8AB5}" name="Table7" displayName="Table7" ref="L34:L36" totalsRowShown="0" headerRowDxfId="133" dataDxfId="132">
  <autoFilter ref="L34:L36" xr:uid="{56D2F5D8-A49A-45E4-A412-5EB745DB8AB5}"/>
  <tableColumns count="1">
    <tableColumn id="1" xr3:uid="{295D3A55-D0F9-4783-BE6A-20D2256D216E}" name="Question" dataDxfId="13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D24847A-50BE-48E9-94F6-36731DFF6B41}" name="Table810" displayName="Table810" ref="B11:B14" totalsRowShown="0" headerRowDxfId="130" dataDxfId="129">
  <autoFilter ref="B11:B14" xr:uid="{2D24847A-50BE-48E9-94F6-36731DFF6B41}"/>
  <tableColumns count="1">
    <tableColumn id="1" xr3:uid="{D4488CE4-74AF-4931-9A2E-60CE8D009958}" name="Acceptance Table" dataDxfId="12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048778-906A-44D6-9EE3-E2ED292823CE}" name="RRC" displayName="RRC" ref="H17:H22" totalsRowShown="0" headerRowDxfId="127" dataDxfId="126">
  <autoFilter ref="H17:H22" xr:uid="{70048778-906A-44D6-9EE3-E2ED292823CE}"/>
  <tableColumns count="1">
    <tableColumn id="1" xr3:uid="{D3DD25F6-643F-47E6-9CE4-E74CDD83D6C1}" name="Riprap Class" dataDxfId="125"/>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12" Type="http://schemas.openxmlformats.org/officeDocument/2006/relationships/table" Target="../tables/table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11" Type="http://schemas.openxmlformats.org/officeDocument/2006/relationships/table" Target="../tables/table8.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S46"/>
  <sheetViews>
    <sheetView showGridLines="0" zoomScaleNormal="100" workbookViewId="0">
      <selection activeCell="F14" sqref="F14"/>
    </sheetView>
  </sheetViews>
  <sheetFormatPr defaultRowHeight="14.4" x14ac:dyDescent="0.3"/>
  <cols>
    <col min="1" max="1" width="29" style="29" bestFit="1" customWidth="1"/>
    <col min="2" max="2" width="30.77734375" style="29" customWidth="1"/>
    <col min="3" max="3" width="4.77734375" style="29" customWidth="1"/>
    <col min="4" max="4" width="25.44140625" style="29" bestFit="1" customWidth="1"/>
    <col min="5" max="5" width="4.77734375" style="29" customWidth="1"/>
    <col min="6" max="6" width="20.77734375" style="29" customWidth="1"/>
    <col min="7" max="7" width="5.77734375" style="29" customWidth="1"/>
    <col min="8" max="8" width="25.77734375" style="29" customWidth="1"/>
    <col min="9" max="9" width="3.77734375" style="29" customWidth="1"/>
    <col min="10" max="10" width="75.6640625" style="29" bestFit="1" customWidth="1"/>
    <col min="11" max="11" width="20" style="29" customWidth="1"/>
    <col min="12" max="12" width="22.77734375" style="29" bestFit="1" customWidth="1"/>
    <col min="13" max="13" width="25" style="29" bestFit="1" customWidth="1"/>
    <col min="14" max="15" width="20.44140625" style="29" bestFit="1" customWidth="1"/>
    <col min="16" max="16" width="20.44140625" style="29" customWidth="1"/>
    <col min="17" max="17" width="25" style="29" bestFit="1" customWidth="1"/>
    <col min="18" max="19" width="20.44140625" style="29" bestFit="1" customWidth="1"/>
    <col min="20" max="16384" width="8.88671875" style="29"/>
  </cols>
  <sheetData>
    <row r="1" spans="1:19" x14ac:dyDescent="0.3">
      <c r="A1" s="145" t="s">
        <v>210</v>
      </c>
      <c r="B1" s="146"/>
      <c r="D1" s="29" t="s">
        <v>11</v>
      </c>
      <c r="F1" s="29" t="s">
        <v>15</v>
      </c>
      <c r="H1" s="29" t="s">
        <v>25</v>
      </c>
      <c r="J1" s="29" t="s">
        <v>33</v>
      </c>
      <c r="K1" s="76">
        <v>1</v>
      </c>
      <c r="L1" s="96" t="s">
        <v>131</v>
      </c>
      <c r="M1" s="96" t="s">
        <v>197</v>
      </c>
      <c r="N1" s="96" t="s">
        <v>78</v>
      </c>
      <c r="O1" s="96" t="s">
        <v>98</v>
      </c>
      <c r="P1" s="96" t="s">
        <v>363</v>
      </c>
      <c r="Q1" s="96" t="s">
        <v>80</v>
      </c>
      <c r="R1" s="96" t="s">
        <v>77</v>
      </c>
      <c r="S1" s="96" t="s">
        <v>79</v>
      </c>
    </row>
    <row r="2" spans="1:19" x14ac:dyDescent="0.3">
      <c r="A2" s="97" t="s">
        <v>213</v>
      </c>
      <c r="B2" s="98">
        <f>EDATE(F$13,B3)</f>
        <v>46661</v>
      </c>
      <c r="C2"/>
      <c r="D2" s="29" t="s">
        <v>12</v>
      </c>
      <c r="F2" s="29" t="s">
        <v>146</v>
      </c>
      <c r="H2" s="78" t="s">
        <v>123</v>
      </c>
      <c r="J2" s="29" t="s">
        <v>172</v>
      </c>
      <c r="K2" s="76">
        <f>K1+1</f>
        <v>2</v>
      </c>
      <c r="L2" s="87" t="s">
        <v>2</v>
      </c>
      <c r="M2" s="74">
        <v>1</v>
      </c>
      <c r="N2" s="74">
        <v>1.1000000000000001</v>
      </c>
      <c r="O2" s="74">
        <v>1.1000000000000001</v>
      </c>
      <c r="P2" s="74">
        <v>1.1000000000000001</v>
      </c>
      <c r="Q2" s="74">
        <v>1.2</v>
      </c>
      <c r="R2" s="74">
        <v>1.1000000000000001</v>
      </c>
      <c r="S2" s="74">
        <v>1.1000000000000001</v>
      </c>
    </row>
    <row r="3" spans="1:19" x14ac:dyDescent="0.3">
      <c r="A3" s="99" t="s">
        <v>212</v>
      </c>
      <c r="B3" s="100">
        <v>13</v>
      </c>
      <c r="C3"/>
      <c r="D3" s="29" t="s">
        <v>362</v>
      </c>
      <c r="F3" s="29" t="s">
        <v>366</v>
      </c>
      <c r="H3" s="29" t="s">
        <v>124</v>
      </c>
      <c r="J3" s="29" t="s">
        <v>51</v>
      </c>
      <c r="K3" s="76">
        <f t="shared" ref="K3:K23" si="0">K2+1</f>
        <v>3</v>
      </c>
      <c r="L3" s="87" t="s">
        <v>3</v>
      </c>
      <c r="M3" s="74">
        <v>6.02</v>
      </c>
      <c r="N3" s="74">
        <v>4.1100000000000003</v>
      </c>
      <c r="O3" s="74">
        <v>4.1399999999999997</v>
      </c>
      <c r="P3" s="74">
        <v>4.12</v>
      </c>
      <c r="Q3" s="74">
        <v>5.7</v>
      </c>
      <c r="R3" s="74">
        <v>4.24</v>
      </c>
      <c r="S3" s="74">
        <v>4.21</v>
      </c>
    </row>
    <row r="4" spans="1:19" x14ac:dyDescent="0.3">
      <c r="A4" s="99" t="s">
        <v>215</v>
      </c>
      <c r="B4" s="105"/>
      <c r="C4"/>
      <c r="D4" s="29" t="s">
        <v>32</v>
      </c>
      <c r="F4" s="29" t="s">
        <v>95</v>
      </c>
      <c r="H4" s="29" t="s">
        <v>133</v>
      </c>
      <c r="J4" s="29" t="s">
        <v>169</v>
      </c>
      <c r="K4" s="76">
        <f t="shared" si="0"/>
        <v>4</v>
      </c>
      <c r="L4" s="87" t="s">
        <v>4</v>
      </c>
      <c r="M4" s="74">
        <v>7.68</v>
      </c>
      <c r="N4" s="74">
        <v>5.01</v>
      </c>
      <c r="O4" s="74">
        <v>5.0599999999999996</v>
      </c>
      <c r="P4" s="74">
        <v>5.05</v>
      </c>
      <c r="Q4" s="74">
        <v>7.21</v>
      </c>
      <c r="R4" s="74">
        <v>5.3</v>
      </c>
      <c r="S4" s="74">
        <v>5.24</v>
      </c>
    </row>
    <row r="5" spans="1:19" x14ac:dyDescent="0.3">
      <c r="A5" s="99" t="s">
        <v>209</v>
      </c>
      <c r="B5" s="100" t="s">
        <v>237</v>
      </c>
      <c r="C5" s="90"/>
      <c r="D5" s="29" t="s">
        <v>31</v>
      </c>
      <c r="F5" s="29" t="s">
        <v>94</v>
      </c>
      <c r="H5" s="29" t="s">
        <v>125</v>
      </c>
      <c r="J5" s="29" t="s">
        <v>319</v>
      </c>
      <c r="K5" s="76">
        <f t="shared" si="0"/>
        <v>5</v>
      </c>
      <c r="L5" s="87" t="s">
        <v>5</v>
      </c>
      <c r="M5" s="74">
        <v>9.26</v>
      </c>
      <c r="N5" s="74">
        <v>5.87</v>
      </c>
      <c r="O5" s="74">
        <v>5.91</v>
      </c>
      <c r="P5" s="74">
        <v>5.83</v>
      </c>
      <c r="Q5" s="74">
        <v>8.6300000000000008</v>
      </c>
      <c r="R5" s="74">
        <v>6.24</v>
      </c>
      <c r="S5" s="74">
        <v>6.17</v>
      </c>
    </row>
    <row r="6" spans="1:19" x14ac:dyDescent="0.3">
      <c r="A6" s="99" t="s">
        <v>216</v>
      </c>
      <c r="B6" s="101">
        <f>IF(ISBLANK($B$4),$B$2,$B$4)</f>
        <v>46661</v>
      </c>
      <c r="C6"/>
      <c r="D6" s="29" t="s">
        <v>13</v>
      </c>
      <c r="F6" s="29" t="s">
        <v>96</v>
      </c>
      <c r="J6" s="29" t="s">
        <v>361</v>
      </c>
      <c r="K6" s="76">
        <f t="shared" si="0"/>
        <v>6</v>
      </c>
      <c r="L6" s="87" t="s">
        <v>6</v>
      </c>
      <c r="M6" s="74">
        <v>11.7</v>
      </c>
      <c r="N6" s="74">
        <v>7.21</v>
      </c>
      <c r="O6" s="74">
        <v>7.26</v>
      </c>
      <c r="P6" s="74">
        <v>6.91</v>
      </c>
      <c r="Q6" s="74">
        <v>10.8</v>
      </c>
      <c r="R6" s="74">
        <v>7.64</v>
      </c>
      <c r="S6" s="74">
        <v>7.55</v>
      </c>
    </row>
    <row r="7" spans="1:19" x14ac:dyDescent="0.3">
      <c r="A7" s="99" t="s">
        <v>208</v>
      </c>
      <c r="B7" s="102" t="b">
        <f>IF(License!$F$2="I ACCEPT",TRUE,FALSE)</f>
        <v>0</v>
      </c>
      <c r="C7" s="91"/>
      <c r="F7" s="29" t="s">
        <v>97</v>
      </c>
      <c r="J7" s="29" t="str">
        <f>"Velocity &gt; "&amp;'Form 2G - Design'!AP46&amp;" ft/s"</f>
        <v>Velocity &gt; 4 ft/s</v>
      </c>
      <c r="K7" s="76">
        <f t="shared" si="0"/>
        <v>7</v>
      </c>
      <c r="L7" s="87" t="s">
        <v>147</v>
      </c>
      <c r="M7" s="74">
        <v>13.9</v>
      </c>
      <c r="N7" s="74">
        <v>8.3699999999999992</v>
      </c>
      <c r="O7" s="74">
        <v>8.48</v>
      </c>
      <c r="P7" s="74">
        <v>7.75</v>
      </c>
      <c r="Q7" s="74">
        <v>12.7</v>
      </c>
      <c r="R7" s="74">
        <v>8.8000000000000007</v>
      </c>
      <c r="S7" s="74">
        <v>8.6999999999999993</v>
      </c>
    </row>
    <row r="8" spans="1:19" x14ac:dyDescent="0.3">
      <c r="A8" s="103" t="s">
        <v>207</v>
      </c>
      <c r="B8" s="104" t="b">
        <f ca="1">OR(License!$F$4=B5, AND(B7=TRUE, NOW()&lt;B6))</f>
        <v>0</v>
      </c>
      <c r="C8"/>
      <c r="F8" s="29" t="s">
        <v>275</v>
      </c>
      <c r="H8" s="29" t="s">
        <v>187</v>
      </c>
      <c r="J8" s="29" t="s">
        <v>321</v>
      </c>
      <c r="K8" s="76">
        <f t="shared" si="0"/>
        <v>8</v>
      </c>
      <c r="L8" s="87" t="s">
        <v>7</v>
      </c>
      <c r="M8" s="74">
        <v>16.3</v>
      </c>
      <c r="N8" s="74">
        <v>9.65</v>
      </c>
      <c r="O8" s="74">
        <v>9.83</v>
      </c>
      <c r="P8" s="74">
        <v>8.6</v>
      </c>
      <c r="Q8" s="74">
        <v>14.8</v>
      </c>
      <c r="R8" s="74">
        <v>10</v>
      </c>
      <c r="S8" s="74">
        <v>9.93</v>
      </c>
    </row>
    <row r="9" spans="1:19" x14ac:dyDescent="0.3">
      <c r="C9"/>
      <c r="F9" s="29" t="s">
        <v>13</v>
      </c>
      <c r="H9" s="29" t="s">
        <v>190</v>
      </c>
      <c r="J9" s="29" t="s">
        <v>320</v>
      </c>
      <c r="K9" s="76">
        <f t="shared" si="0"/>
        <v>9</v>
      </c>
      <c r="L9" s="87" t="s">
        <v>107</v>
      </c>
      <c r="M9" s="79">
        <v>40574</v>
      </c>
      <c r="N9" s="79" t="s">
        <v>106</v>
      </c>
      <c r="O9" s="79" t="s">
        <v>105</v>
      </c>
      <c r="P9" s="79"/>
      <c r="Q9" s="79" t="s">
        <v>104</v>
      </c>
      <c r="R9" s="79" t="s">
        <v>104</v>
      </c>
      <c r="S9" s="79" t="s">
        <v>103</v>
      </c>
    </row>
    <row r="10" spans="1:19" x14ac:dyDescent="0.3">
      <c r="H10" s="29" t="s">
        <v>191</v>
      </c>
      <c r="J10" s="29" t="str">
        <f>"Strip slope &lt; "&amp;'Form 2G - Design'!AP52&amp;"% or &gt; "&amp;'Form 2G - Design'!AP53&amp;"%"</f>
        <v>Strip slope &lt; 2% or &gt; 6%</v>
      </c>
      <c r="K10" s="76">
        <f t="shared" si="0"/>
        <v>10</v>
      </c>
      <c r="L10" s="87" t="s">
        <v>102</v>
      </c>
      <c r="M10" s="75" t="s">
        <v>101</v>
      </c>
      <c r="N10" s="75" t="s">
        <v>100</v>
      </c>
      <c r="O10" s="75" t="s">
        <v>101</v>
      </c>
      <c r="P10" s="75" t="s">
        <v>101</v>
      </c>
      <c r="Q10" s="75" t="s">
        <v>100</v>
      </c>
      <c r="R10" s="75" t="s">
        <v>100</v>
      </c>
      <c r="S10" s="75" t="s">
        <v>100</v>
      </c>
    </row>
    <row r="11" spans="1:19" x14ac:dyDescent="0.3">
      <c r="B11" s="29" t="s">
        <v>203</v>
      </c>
      <c r="H11" s="29" t="s">
        <v>192</v>
      </c>
      <c r="J11" s="29" t="str">
        <f>"Strip slope &lt; "&amp;'Form 2G - Design'!AP52&amp;"%"</f>
        <v>Strip slope &lt; 2%</v>
      </c>
      <c r="K11" s="76">
        <f t="shared" si="0"/>
        <v>11</v>
      </c>
      <c r="L11" s="87" t="s">
        <v>109</v>
      </c>
      <c r="M11" s="75" t="s">
        <v>241</v>
      </c>
      <c r="N11" s="75" t="s">
        <v>110</v>
      </c>
      <c r="O11" s="75" t="s">
        <v>56</v>
      </c>
      <c r="P11" s="75"/>
      <c r="Q11" s="75" t="s">
        <v>56</v>
      </c>
      <c r="R11" s="75" t="s">
        <v>56</v>
      </c>
      <c r="S11" s="75" t="s">
        <v>56</v>
      </c>
    </row>
    <row r="12" spans="1:19" x14ac:dyDescent="0.3">
      <c r="B12" s="29" t="s">
        <v>204</v>
      </c>
      <c r="H12" s="29" t="s">
        <v>193</v>
      </c>
      <c r="J12" s="29" t="str">
        <f>"Strip slope &gt; "&amp;'Form 2G - Design'!AP53&amp;"%"</f>
        <v>Strip slope &gt; 6%</v>
      </c>
      <c r="K12" s="76">
        <f t="shared" si="0"/>
        <v>12</v>
      </c>
      <c r="L12" s="87" t="s">
        <v>128</v>
      </c>
      <c r="M12" s="75"/>
      <c r="N12" s="75"/>
      <c r="O12" s="75"/>
      <c r="P12" s="75"/>
      <c r="Q12" s="75" t="s">
        <v>132</v>
      </c>
      <c r="R12" s="75" t="s">
        <v>140</v>
      </c>
      <c r="S12" s="75"/>
    </row>
    <row r="13" spans="1:19" x14ac:dyDescent="0.3">
      <c r="B13" s="29" t="s">
        <v>201</v>
      </c>
      <c r="D13" s="42" t="s">
        <v>211</v>
      </c>
      <c r="F13" s="80">
        <v>46266</v>
      </c>
      <c r="H13" s="29" t="s">
        <v>194</v>
      </c>
      <c r="J13" s="29" t="str">
        <f>"Strip width &lt; "&amp;'Form 2G - Design'!AP57&amp;"-ft"</f>
        <v>Strip width &lt; 25-ft</v>
      </c>
      <c r="K13" s="76">
        <f t="shared" si="0"/>
        <v>13</v>
      </c>
      <c r="L13" s="87" t="s">
        <v>129</v>
      </c>
      <c r="M13" s="75">
        <v>6</v>
      </c>
      <c r="N13" s="75">
        <v>5</v>
      </c>
      <c r="O13" s="75">
        <v>5</v>
      </c>
      <c r="P13" s="75">
        <v>6</v>
      </c>
      <c r="Q13" s="75">
        <v>6</v>
      </c>
      <c r="R13" s="75">
        <v>6</v>
      </c>
      <c r="S13" s="75">
        <v>6</v>
      </c>
    </row>
    <row r="14" spans="1:19" x14ac:dyDescent="0.3">
      <c r="B14" s="29" t="s">
        <v>202</v>
      </c>
      <c r="D14" s="42" t="s">
        <v>81</v>
      </c>
      <c r="F14" s="81" t="s">
        <v>197</v>
      </c>
      <c r="H14" s="29" t="s">
        <v>13</v>
      </c>
      <c r="J14" s="29" t="s">
        <v>323</v>
      </c>
      <c r="K14" s="76">
        <f t="shared" si="0"/>
        <v>14</v>
      </c>
      <c r="L14" s="87" t="s">
        <v>149</v>
      </c>
      <c r="M14" s="83" t="s">
        <v>161</v>
      </c>
      <c r="N14" s="83" t="s">
        <v>161</v>
      </c>
      <c r="O14" s="82"/>
      <c r="P14" s="82"/>
      <c r="Q14" s="83" t="s">
        <v>161</v>
      </c>
      <c r="R14" s="83" t="s">
        <v>142</v>
      </c>
      <c r="S14" s="83" t="s">
        <v>143</v>
      </c>
    </row>
    <row r="15" spans="1:19" x14ac:dyDescent="0.3">
      <c r="D15" s="42" t="s">
        <v>2</v>
      </c>
      <c r="F15" s="74">
        <f>HLOOKUP($F$14,$M$1:$S$23,2)</f>
        <v>1</v>
      </c>
      <c r="G15" s="75" t="str">
        <f>TEXT(F15,"0.00")</f>
        <v>1.00</v>
      </c>
      <c r="J15" s="29" t="s">
        <v>163</v>
      </c>
      <c r="K15" s="76">
        <f t="shared" si="0"/>
        <v>15</v>
      </c>
      <c r="L15" s="87" t="s">
        <v>148</v>
      </c>
      <c r="M15" s="75" t="s">
        <v>150</v>
      </c>
      <c r="N15" s="75" t="s">
        <v>150</v>
      </c>
      <c r="O15" s="75" t="s">
        <v>150</v>
      </c>
      <c r="P15" s="75" t="s">
        <v>150</v>
      </c>
      <c r="Q15" s="75" t="s">
        <v>150</v>
      </c>
      <c r="R15" s="75" t="s">
        <v>150</v>
      </c>
      <c r="S15" s="75" t="s">
        <v>150</v>
      </c>
    </row>
    <row r="16" spans="1:19" x14ac:dyDescent="0.3">
      <c r="D16" s="42" t="s">
        <v>3</v>
      </c>
      <c r="F16" s="74">
        <f>HLOOKUP($F$14,$M$1:$S$23,3)</f>
        <v>6.02</v>
      </c>
      <c r="K16" s="76">
        <f t="shared" si="0"/>
        <v>16</v>
      </c>
      <c r="L16" s="87" t="s">
        <v>158</v>
      </c>
      <c r="M16" s="75">
        <v>6</v>
      </c>
      <c r="N16" s="75">
        <v>6</v>
      </c>
      <c r="O16" s="75">
        <v>6</v>
      </c>
      <c r="P16" s="75">
        <v>6</v>
      </c>
      <c r="Q16" s="75">
        <v>5</v>
      </c>
      <c r="R16" s="75">
        <v>6</v>
      </c>
      <c r="S16" s="75">
        <v>6</v>
      </c>
    </row>
    <row r="17" spans="4:19" x14ac:dyDescent="0.3">
      <c r="D17" s="42" t="s">
        <v>4</v>
      </c>
      <c r="F17" s="74">
        <f>HLOOKUP($F$14,$M$1:$S$23,4)</f>
        <v>7.68</v>
      </c>
      <c r="G17" s="84"/>
      <c r="H17" s="29" t="s">
        <v>370</v>
      </c>
      <c r="K17" s="76">
        <f t="shared" si="0"/>
        <v>17</v>
      </c>
      <c r="L17" s="87" t="s">
        <v>157</v>
      </c>
      <c r="M17" s="75" t="s">
        <v>73</v>
      </c>
      <c r="N17" s="75" t="s">
        <v>73</v>
      </c>
      <c r="O17" s="75" t="s">
        <v>73</v>
      </c>
      <c r="P17" s="75" t="s">
        <v>73</v>
      </c>
      <c r="Q17" s="75" t="s">
        <v>73</v>
      </c>
      <c r="R17" s="75" t="s">
        <v>73</v>
      </c>
      <c r="S17" s="75" t="s">
        <v>73</v>
      </c>
    </row>
    <row r="18" spans="4:19" x14ac:dyDescent="0.3">
      <c r="D18" s="42" t="s">
        <v>5</v>
      </c>
      <c r="F18" s="74">
        <f>HLOOKUP($F$14,$M$1:$S$23,5)</f>
        <v>9.26</v>
      </c>
      <c r="H18" s="75">
        <v>1</v>
      </c>
      <c r="K18" s="76">
        <f t="shared" si="0"/>
        <v>18</v>
      </c>
      <c r="L18" s="87" t="s">
        <v>164</v>
      </c>
      <c r="M18" s="75">
        <v>25</v>
      </c>
      <c r="N18" s="75">
        <v>25</v>
      </c>
      <c r="O18" s="75">
        <v>25</v>
      </c>
      <c r="P18" s="75">
        <v>25</v>
      </c>
      <c r="Q18" s="75">
        <v>2</v>
      </c>
      <c r="R18" s="75">
        <v>25</v>
      </c>
      <c r="S18" s="75">
        <v>25</v>
      </c>
    </row>
    <row r="19" spans="4:19" x14ac:dyDescent="0.3">
      <c r="D19" s="42" t="s">
        <v>6</v>
      </c>
      <c r="F19" s="74">
        <f>HLOOKUP($F$14,$M$1:$S$23,6)</f>
        <v>11.7</v>
      </c>
      <c r="H19" s="75">
        <v>2</v>
      </c>
      <c r="K19" s="76">
        <f t="shared" si="0"/>
        <v>19</v>
      </c>
      <c r="L19" s="87" t="s">
        <v>176</v>
      </c>
      <c r="M19" s="75" t="str">
        <f t="shared" ref="M19" si="1">VLOOKUP(M18,$K$27:$L$32,2)</f>
        <v>25, 50, and 100</v>
      </c>
      <c r="N19" s="75" t="str">
        <f>VLOOKUP(N18,$K$27:$L$32,2)</f>
        <v>25, 50, and 100</v>
      </c>
      <c r="O19" s="75" t="str">
        <f>VLOOKUP(O18,$K$27:$L$32,2)</f>
        <v>25, 50, and 100</v>
      </c>
      <c r="P19" s="75" t="str">
        <f>VLOOKUP(P18,$K$27:$L$32,2)</f>
        <v>25, 50, and 100</v>
      </c>
      <c r="Q19" s="75" t="str">
        <f t="shared" ref="Q19:S19" si="2">VLOOKUP(Q18,$K$27:$L$32,2)</f>
        <v>2, 5, 10, 25, 50, and 100</v>
      </c>
      <c r="R19" s="75" t="str">
        <f t="shared" si="2"/>
        <v>25, 50, and 100</v>
      </c>
      <c r="S19" s="75" t="str">
        <f t="shared" si="2"/>
        <v>25, 50, and 100</v>
      </c>
    </row>
    <row r="20" spans="4:19" x14ac:dyDescent="0.3">
      <c r="D20" s="42" t="s">
        <v>147</v>
      </c>
      <c r="F20" s="74">
        <f>HLOOKUP($F$14,$M$1:$S$23,7)</f>
        <v>13.9</v>
      </c>
      <c r="H20" s="75">
        <v>3</v>
      </c>
      <c r="K20" s="76">
        <f t="shared" si="0"/>
        <v>20</v>
      </c>
      <c r="L20" s="87" t="s">
        <v>165</v>
      </c>
      <c r="M20" s="75" t="s">
        <v>73</v>
      </c>
      <c r="N20" s="75" t="s">
        <v>73</v>
      </c>
      <c r="O20" s="75" t="s">
        <v>73</v>
      </c>
      <c r="P20" s="75" t="s">
        <v>73</v>
      </c>
      <c r="Q20" s="75" t="s">
        <v>87</v>
      </c>
      <c r="R20" s="75" t="s">
        <v>87</v>
      </c>
      <c r="S20" s="75" t="s">
        <v>87</v>
      </c>
    </row>
    <row r="21" spans="4:19" x14ac:dyDescent="0.3">
      <c r="D21" s="42" t="s">
        <v>7</v>
      </c>
      <c r="F21" s="74">
        <f>HLOOKUP($F$14,$M$1:$S$23,8)</f>
        <v>16.3</v>
      </c>
      <c r="H21" s="75">
        <v>4</v>
      </c>
      <c r="K21" s="76">
        <f t="shared" si="0"/>
        <v>21</v>
      </c>
      <c r="L21" s="87" t="s">
        <v>166</v>
      </c>
      <c r="M21" s="75">
        <v>25</v>
      </c>
      <c r="N21" s="75">
        <v>25</v>
      </c>
      <c r="O21" s="75">
        <v>25</v>
      </c>
      <c r="P21" s="75">
        <v>25</v>
      </c>
      <c r="Q21" s="75">
        <v>2</v>
      </c>
      <c r="R21" s="75">
        <v>25</v>
      </c>
      <c r="S21" s="75">
        <v>25</v>
      </c>
    </row>
    <row r="22" spans="4:19" x14ac:dyDescent="0.3">
      <c r="D22" s="42" t="s">
        <v>107</v>
      </c>
      <c r="F22" s="74">
        <f>HLOOKUP($F$14,$M$1:$S$23,9)</f>
        <v>40574</v>
      </c>
      <c r="H22" s="75">
        <v>5</v>
      </c>
      <c r="K22" s="76">
        <f t="shared" si="0"/>
        <v>22</v>
      </c>
      <c r="L22" s="87" t="s">
        <v>177</v>
      </c>
      <c r="M22" s="75" t="str">
        <f t="shared" ref="M22" si="3">VLOOKUP(M21,$K$27:$L$32,2)</f>
        <v>25, 50, and 100</v>
      </c>
      <c r="N22" s="75" t="str">
        <f>VLOOKUP(N21,$K$27:$L$32,2)</f>
        <v>25, 50, and 100</v>
      </c>
      <c r="O22" s="75" t="str">
        <f>VLOOKUP(O21,$K$27:$L$32,2)</f>
        <v>25, 50, and 100</v>
      </c>
      <c r="P22" s="75" t="str">
        <f>VLOOKUP(P21,$K$27:$L$32,2)</f>
        <v>25, 50, and 100</v>
      </c>
      <c r="Q22" s="75" t="str">
        <f t="shared" ref="Q22" si="4">VLOOKUP(Q21,$K$27:$L$32,2)</f>
        <v>2, 5, 10, 25, 50, and 100</v>
      </c>
      <c r="R22" s="75" t="str">
        <f t="shared" ref="R22" si="5">VLOOKUP(R21,$K$27:$L$32,2)</f>
        <v>25, 50, and 100</v>
      </c>
      <c r="S22" s="75" t="str">
        <f t="shared" ref="S22" si="6">VLOOKUP(S21,$K$27:$L$32,2)</f>
        <v>25, 50, and 100</v>
      </c>
    </row>
    <row r="23" spans="4:19" x14ac:dyDescent="0.3">
      <c r="D23" s="42" t="s">
        <v>108</v>
      </c>
      <c r="F23" s="85" t="str">
        <f>HLOOKUP($F$14,$M$1:$S$23,10)</f>
        <v>County</v>
      </c>
      <c r="K23" s="76">
        <f t="shared" si="0"/>
        <v>23</v>
      </c>
      <c r="L23" s="87" t="s">
        <v>175</v>
      </c>
      <c r="M23" s="75" t="s">
        <v>242</v>
      </c>
      <c r="N23" s="75" t="s">
        <v>364</v>
      </c>
      <c r="O23" s="75" t="s">
        <v>364</v>
      </c>
      <c r="P23" s="75" t="s">
        <v>364</v>
      </c>
      <c r="Q23" s="75" t="s">
        <v>364</v>
      </c>
      <c r="R23" s="75" t="s">
        <v>365</v>
      </c>
      <c r="S23" s="75" t="s">
        <v>364</v>
      </c>
    </row>
    <row r="24" spans="4:19" x14ac:dyDescent="0.3">
      <c r="D24" s="42" t="s">
        <v>109</v>
      </c>
      <c r="F24" s="85" t="str">
        <f>HLOOKUP($F$14,$M$1:$S$23,11)</f>
        <v xml:space="preserve"> O&amp;M Plan</v>
      </c>
      <c r="I24" s="89"/>
      <c r="K24" s="76">
        <v>24</v>
      </c>
      <c r="L24" s="87" t="s">
        <v>217</v>
      </c>
      <c r="M24" s="75">
        <v>1</v>
      </c>
      <c r="N24" s="75">
        <v>2</v>
      </c>
      <c r="O24" s="75">
        <v>2</v>
      </c>
      <c r="P24" s="75">
        <v>2</v>
      </c>
      <c r="Q24" s="75">
        <v>2</v>
      </c>
      <c r="R24" s="75">
        <v>2</v>
      </c>
      <c r="S24" s="75">
        <v>2</v>
      </c>
    </row>
    <row r="25" spans="4:19" x14ac:dyDescent="0.3">
      <c r="D25" s="42" t="s">
        <v>128</v>
      </c>
      <c r="F25" s="75">
        <f>HLOOKUP($F$14,$M$1:$S$23,12)</f>
        <v>0</v>
      </c>
      <c r="I25" s="89"/>
      <c r="K25" s="29">
        <v>25</v>
      </c>
      <c r="L25" s="87" t="s">
        <v>218</v>
      </c>
      <c r="M25" s="75" t="s">
        <v>197</v>
      </c>
      <c r="N25" s="75" t="s">
        <v>219</v>
      </c>
      <c r="O25" s="75" t="s">
        <v>220</v>
      </c>
      <c r="P25" s="75" t="s">
        <v>363</v>
      </c>
      <c r="Q25" s="75" t="s">
        <v>221</v>
      </c>
      <c r="R25" s="75" t="s">
        <v>222</v>
      </c>
      <c r="S25" s="75" t="s">
        <v>223</v>
      </c>
    </row>
    <row r="26" spans="4:19" x14ac:dyDescent="0.3">
      <c r="D26" s="42" t="s">
        <v>129</v>
      </c>
      <c r="F26" s="75">
        <f>HLOOKUP($F$14,$M$1:$S$23,13)</f>
        <v>6</v>
      </c>
      <c r="I26" s="89"/>
      <c r="K26" s="77" t="s">
        <v>182</v>
      </c>
      <c r="L26" s="77" t="s">
        <v>183</v>
      </c>
      <c r="M26" s="77"/>
    </row>
    <row r="27" spans="4:19" x14ac:dyDescent="0.3">
      <c r="D27" s="42" t="s">
        <v>141</v>
      </c>
      <c r="F27" s="82" t="str">
        <f>HLOOKUP($F$14,$M$1:$S$23,14)</f>
        <v>31 December</v>
      </c>
      <c r="I27" s="89"/>
      <c r="K27" s="29">
        <v>2</v>
      </c>
      <c r="L27" s="42" t="s">
        <v>150</v>
      </c>
      <c r="M27" s="42"/>
    </row>
    <row r="28" spans="4:19" x14ac:dyDescent="0.3">
      <c r="D28" s="42" t="s">
        <v>148</v>
      </c>
      <c r="E28" s="86">
        <f>HLOOKUP($F$14,$M$1:$S$23,16)</f>
        <v>6</v>
      </c>
      <c r="F28" s="82" t="str">
        <f>HLOOKUP($F$14,$M$1:$S$23,15)</f>
        <v>2, 5, 10, 25, 50, and 100</v>
      </c>
      <c r="I28" s="89"/>
      <c r="K28" s="29">
        <v>5</v>
      </c>
      <c r="L28" s="42" t="s">
        <v>178</v>
      </c>
      <c r="M28" s="42"/>
    </row>
    <row r="29" spans="4:19" x14ac:dyDescent="0.3">
      <c r="D29" s="42" t="s">
        <v>157</v>
      </c>
      <c r="E29" s="86"/>
      <c r="F29" s="82" t="str">
        <f>HLOOKUP($F$14,$M$1:$S$23,17)</f>
        <v>No</v>
      </c>
      <c r="I29" s="89"/>
      <c r="K29" s="29">
        <v>10</v>
      </c>
      <c r="L29" s="42" t="s">
        <v>179</v>
      </c>
      <c r="M29" s="42"/>
    </row>
    <row r="30" spans="4:19" x14ac:dyDescent="0.3">
      <c r="D30" s="42" t="s">
        <v>164</v>
      </c>
      <c r="E30" s="86"/>
      <c r="F30" s="86">
        <f>HLOOKUP($F$14,$M$1:$S$23,18)</f>
        <v>25</v>
      </c>
      <c r="I30" s="89"/>
      <c r="K30" s="29">
        <v>25</v>
      </c>
      <c r="L30" s="42" t="s">
        <v>180</v>
      </c>
      <c r="M30" s="42"/>
    </row>
    <row r="31" spans="4:19" x14ac:dyDescent="0.3">
      <c r="D31" s="42" t="s">
        <v>176</v>
      </c>
      <c r="E31" s="86"/>
      <c r="F31" s="86" t="str">
        <f>HLOOKUP($F$14,$M$1:$S$23,19)</f>
        <v>25, 50, and 100</v>
      </c>
      <c r="I31" s="89"/>
      <c r="K31" s="29">
        <v>50</v>
      </c>
      <c r="L31" s="42" t="s">
        <v>181</v>
      </c>
      <c r="M31" s="42"/>
    </row>
    <row r="32" spans="4:19" x14ac:dyDescent="0.3">
      <c r="D32" s="42" t="s">
        <v>165</v>
      </c>
      <c r="E32" s="86"/>
      <c r="F32" s="82" t="str">
        <f>HLOOKUP($F$14,$M$1:$S$23,20)</f>
        <v>No</v>
      </c>
      <c r="I32" s="89"/>
      <c r="K32" s="29">
        <v>100</v>
      </c>
      <c r="L32" s="42">
        <v>100</v>
      </c>
      <c r="M32" s="42"/>
    </row>
    <row r="33" spans="4:13" x14ac:dyDescent="0.3">
      <c r="D33" s="42" t="s">
        <v>166</v>
      </c>
      <c r="E33" s="86"/>
      <c r="F33" s="86">
        <f>HLOOKUP($F$14,$M$1:$S$23,21)</f>
        <v>25</v>
      </c>
    </row>
    <row r="34" spans="4:13" x14ac:dyDescent="0.3">
      <c r="D34" s="42" t="s">
        <v>177</v>
      </c>
      <c r="E34" s="86"/>
      <c r="F34" s="86" t="str">
        <f>HLOOKUP($F$14,$M$1:$S$23,22)</f>
        <v>25, 50, and 100</v>
      </c>
      <c r="L34" s="77" t="s">
        <v>186</v>
      </c>
      <c r="M34" s="77"/>
    </row>
    <row r="35" spans="4:13" x14ac:dyDescent="0.3">
      <c r="D35" s="42" t="s">
        <v>184</v>
      </c>
      <c r="E35" s="86"/>
      <c r="F35" s="86">
        <f>MIN(F30,F33)</f>
        <v>25</v>
      </c>
      <c r="L35" s="75" t="s">
        <v>87</v>
      </c>
      <c r="M35" s="75"/>
    </row>
    <row r="36" spans="4:13" x14ac:dyDescent="0.3">
      <c r="D36" s="42" t="s">
        <v>185</v>
      </c>
      <c r="E36" s="86"/>
      <c r="F36" s="75" t="str">
        <f>VLOOKUP(F35,$K$27:$L$32,2)</f>
        <v>25, 50, and 100</v>
      </c>
      <c r="L36" s="75" t="s">
        <v>73</v>
      </c>
      <c r="M36" s="75"/>
    </row>
    <row r="37" spans="4:13" x14ac:dyDescent="0.3">
      <c r="D37" s="42" t="s">
        <v>175</v>
      </c>
      <c r="E37" s="86"/>
      <c r="F37" s="86" t="str">
        <f>HLOOKUP($F$14,$M$1:$S$23,23)</f>
        <v>Drainage Rights</v>
      </c>
    </row>
    <row r="38" spans="4:13" x14ac:dyDescent="0.3">
      <c r="D38" s="42" t="s">
        <v>217</v>
      </c>
      <c r="E38" s="86"/>
      <c r="F38" s="111">
        <f>HLOOKUP($F$14,$M$1:$S$24,24)</f>
        <v>1</v>
      </c>
    </row>
    <row r="39" spans="4:13" x14ac:dyDescent="0.3">
      <c r="D39" s="42" t="s">
        <v>218</v>
      </c>
      <c r="F39" s="86" t="str">
        <f>HLOOKUP($F$14,$M$1:$S$25,25)</f>
        <v>Baldwin County</v>
      </c>
      <c r="H39" s="76" t="s">
        <v>114</v>
      </c>
    </row>
    <row r="40" spans="4:13" ht="64.95" customHeight="1" x14ac:dyDescent="0.3">
      <c r="E40" s="88" t="s">
        <v>197</v>
      </c>
    </row>
    <row r="41" spans="4:13" ht="64.95" customHeight="1" x14ac:dyDescent="0.3">
      <c r="E41" s="42" t="s">
        <v>78</v>
      </c>
    </row>
    <row r="42" spans="4:13" ht="64.95" customHeight="1" x14ac:dyDescent="0.3">
      <c r="E42" s="42" t="s">
        <v>98</v>
      </c>
    </row>
    <row r="43" spans="4:13" ht="64.95" customHeight="1" x14ac:dyDescent="0.3">
      <c r="E43" s="42" t="s">
        <v>363</v>
      </c>
      <c r="F43" s="30" t="e" vm="1">
        <v>#VALUE!</v>
      </c>
    </row>
    <row r="44" spans="4:13" ht="64.95" customHeight="1" x14ac:dyDescent="0.3">
      <c r="E44" s="42" t="s">
        <v>80</v>
      </c>
    </row>
    <row r="45" spans="4:13" ht="64.95" customHeight="1" x14ac:dyDescent="0.3">
      <c r="E45" s="42" t="s">
        <v>77</v>
      </c>
    </row>
    <row r="46" spans="4:13" ht="64.95" customHeight="1" x14ac:dyDescent="0.3">
      <c r="E46" s="42" t="s">
        <v>79</v>
      </c>
    </row>
  </sheetData>
  <sheetProtection algorithmName="SHA-512" hashValue="G8gkj5b/SjhEamnjEg4fHtOYmvRTjFLpn/gF9SdhSjtR7Joh/WdGk+u5oOWzABGTZSS59R/8lI7U5wSzxScmNA==" saltValue="oDHq2Ct/5q/E8pOEy6kUrg==" spinCount="100000" sheet="1" objects="1" scenarios="1"/>
  <sortState xmlns:xlrd2="http://schemas.microsoft.com/office/spreadsheetml/2017/richdata2" ref="D19:F24">
    <sortCondition ref="E19:E24"/>
  </sortState>
  <mergeCells count="1">
    <mergeCell ref="A1:B1"/>
  </mergeCells>
  <dataValidations count="3">
    <dataValidation type="list" allowBlank="1" showInputMessage="1" showErrorMessage="1" sqref="F14" xr:uid="{EBBE6338-4834-4C9B-9848-CE10F23E26FB}">
      <formula1>$M$1:$S$1</formula1>
    </dataValidation>
    <dataValidation type="list" allowBlank="1" showInputMessage="1" showErrorMessage="1" sqref="M21:S21 M18:S18" xr:uid="{D6B58A4C-7C48-4FE3-8A25-E00DA256AA5E}">
      <formula1>$K$27:$K$32</formula1>
    </dataValidation>
    <dataValidation type="list" allowBlank="1" showInputMessage="1" showErrorMessage="1" sqref="M20:S20 M17:S17" xr:uid="{28435609-2046-43BD-A9F3-08D43EFBFA74}">
      <formula1>$L$35:$L$36</formula1>
    </dataValidation>
  </dataValidations>
  <pageMargins left="0.7" right="0.7" top="0.75" bottom="0.75" header="0.3" footer="0.3"/>
  <pageSetup orientation="portrait" horizontalDpi="1200" verticalDpi="1200" r:id="rId1"/>
  <drawing r:id="rId2"/>
  <legacyDrawing r:id="rId3"/>
  <tableParts count="9">
    <tablePart r:id="rId4"/>
    <tablePart r:id="rId5"/>
    <tablePart r:id="rId6"/>
    <tablePart r:id="rId7"/>
    <tablePart r:id="rId8"/>
    <tablePart r:id="rId9"/>
    <tablePart r:id="rId10"/>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390F5-78AD-482F-B053-1304FA695CE7}">
  <sheetPr codeName="Sheet1">
    <tabColor theme="2" tint="-0.499984740745262"/>
    <pageSetUpPr fitToPage="1"/>
  </sheetPr>
  <dimension ref="A1:Z55"/>
  <sheetViews>
    <sheetView showGridLines="0" tabSelected="1" topLeftCell="B1" zoomScale="130" zoomScaleNormal="130" workbookViewId="0">
      <pane ySplit="3" topLeftCell="A5" activePane="bottomLeft" state="frozen"/>
      <selection pane="bottomLeft" activeCell="F2" sqref="F2"/>
    </sheetView>
  </sheetViews>
  <sheetFormatPr defaultColWidth="0" defaultRowHeight="19.95" customHeight="1" x14ac:dyDescent="0.3"/>
  <cols>
    <col min="1" max="1" width="8.88671875" style="93" hidden="1" customWidth="1"/>
    <col min="2" max="2" width="2.77734375" style="46" customWidth="1"/>
    <col min="3" max="3" width="5.77734375" style="45" customWidth="1"/>
    <col min="4" max="4" width="24.77734375" style="46" customWidth="1"/>
    <col min="5" max="5" width="4.77734375" style="46" customWidth="1"/>
    <col min="6" max="6" width="20.5546875" style="46" customWidth="1"/>
    <col min="7" max="11" width="8.88671875" style="46" customWidth="1"/>
    <col min="12" max="13" width="10.77734375" style="46" customWidth="1"/>
    <col min="14" max="14" width="8.88671875" style="46" customWidth="1"/>
    <col min="15" max="16" width="10.77734375" style="46" customWidth="1"/>
    <col min="17" max="18" width="8.88671875" style="46" customWidth="1"/>
    <col min="19" max="19" width="8.88671875" customWidth="1"/>
    <col min="20" max="20" width="8.88671875" style="46" customWidth="1"/>
    <col min="21" max="24" width="0" style="46" hidden="1" customWidth="1"/>
    <col min="25" max="25" width="8.88671875" style="46" hidden="1" customWidth="1"/>
    <col min="26" max="26" width="0" style="46" hidden="1" customWidth="1"/>
    <col min="27" max="16384" width="8.88671875" style="46" hidden="1"/>
  </cols>
  <sheetData>
    <row r="1" spans="1:20" ht="19.95" customHeight="1" x14ac:dyDescent="0.3">
      <c r="C1" s="47" t="s">
        <v>243</v>
      </c>
      <c r="N1" s="92" t="s">
        <v>198</v>
      </c>
      <c r="O1" s="144">
        <f>Tables!F13</f>
        <v>46266</v>
      </c>
      <c r="P1" s="144"/>
      <c r="Q1" s="140"/>
      <c r="R1" s="140"/>
      <c r="S1" s="140"/>
    </row>
    <row r="2" spans="1:20" ht="19.95" customHeight="1" x14ac:dyDescent="0.3">
      <c r="A2" s="94">
        <f>IF(OR(F2="I ACCEPT",F2="I DO NOT ACCEPT"),1,2)</f>
        <v>2</v>
      </c>
      <c r="E2" s="92" t="s">
        <v>200</v>
      </c>
      <c r="F2" s="106" t="s">
        <v>204</v>
      </c>
      <c r="N2" s="92" t="s">
        <v>214</v>
      </c>
      <c r="O2" s="144">
        <f>Tables!B6</f>
        <v>46661</v>
      </c>
      <c r="P2" s="144"/>
      <c r="Q2" s="140"/>
      <c r="R2" s="140"/>
      <c r="S2" s="140"/>
    </row>
    <row r="3" spans="1:20" ht="19.95" customHeight="1" x14ac:dyDescent="0.3">
      <c r="A3" s="94">
        <f ca="1">IF(F3="Workbook is Locked and Unavailable",2,1)</f>
        <v>2</v>
      </c>
      <c r="E3" s="92" t="s">
        <v>206</v>
      </c>
      <c r="F3" s="143" t="str">
        <f ca="1">IF(Tables!$B$8,"Workbook is Active","Workbook is Locked and Unavailable")</f>
        <v>Workbook is Locked and Unavailable</v>
      </c>
      <c r="G3" s="143"/>
      <c r="H3" s="143"/>
    </row>
    <row r="4" spans="1:20" ht="19.95" hidden="1" customHeight="1" x14ac:dyDescent="0.3">
      <c r="B4" s="93"/>
      <c r="C4" s="95"/>
      <c r="D4" s="93"/>
      <c r="E4" s="110" t="s">
        <v>205</v>
      </c>
      <c r="F4" s="109"/>
      <c r="G4" s="93"/>
      <c r="H4" s="93"/>
      <c r="I4" s="93"/>
      <c r="J4" s="93"/>
      <c r="K4" s="93"/>
      <c r="L4" s="93"/>
      <c r="M4" s="93"/>
      <c r="N4" s="93"/>
      <c r="O4" s="93"/>
      <c r="P4" s="93"/>
      <c r="Q4" s="93"/>
      <c r="R4" s="93"/>
      <c r="S4" s="93"/>
      <c r="T4" s="93"/>
    </row>
    <row r="6" spans="1:20" ht="19.95" customHeight="1" x14ac:dyDescent="0.3">
      <c r="D6" s="107"/>
      <c r="E6" s="107" t="s">
        <v>199</v>
      </c>
      <c r="F6" s="46" t="s">
        <v>266</v>
      </c>
    </row>
    <row r="7" spans="1:20" ht="19.95" customHeight="1" x14ac:dyDescent="0.3">
      <c r="D7" s="107"/>
      <c r="E7" s="108"/>
      <c r="F7" s="46" t="str">
        <f>"By clicking I ACCEPT, you represent that you are (a) preparing a post-construction submittal for "&amp;Tables!$F$39&amp;" and/or"</f>
        <v>By clicking I ACCEPT, you represent that you are (a) preparing a post-construction submittal for Baldwin County and/or</v>
      </c>
    </row>
    <row r="8" spans="1:20" ht="19.95" customHeight="1" x14ac:dyDescent="0.3">
      <c r="D8" s="107"/>
      <c r="E8" s="108"/>
      <c r="F8" s="46" t="s">
        <v>245</v>
      </c>
    </row>
    <row r="9" spans="1:20" ht="19.95" customHeight="1" x14ac:dyDescent="0.3">
      <c r="D9" s="107"/>
      <c r="E9" s="108"/>
      <c r="F9" s="46" t="s">
        <v>244</v>
      </c>
    </row>
    <row r="10" spans="1:20" ht="19.95" customHeight="1" x14ac:dyDescent="0.3">
      <c r="D10" s="107"/>
      <c r="E10" s="108"/>
    </row>
    <row r="11" spans="1:20" ht="19.95" customHeight="1" x14ac:dyDescent="0.3">
      <c r="D11" s="107">
        <v>1</v>
      </c>
      <c r="E11" s="8" t="s">
        <v>246</v>
      </c>
    </row>
    <row r="12" spans="1:20" ht="19.95" customHeight="1" x14ac:dyDescent="0.3">
      <c r="D12" s="107"/>
      <c r="E12" s="108"/>
      <c r="F12" s="46" t="s">
        <v>224</v>
      </c>
    </row>
    <row r="13" spans="1:20" ht="19.95" customHeight="1" x14ac:dyDescent="0.3">
      <c r="D13" s="107"/>
      <c r="E13" s="108"/>
      <c r="F13" s="46" t="str">
        <f>"and submit post-construction application materials to "&amp;Tables!$F$39&amp;" and for the User's internal recordkeeping for those"</f>
        <v>and submit post-construction application materials to Baldwin County and for the User's internal recordkeeping for those</v>
      </c>
    </row>
    <row r="14" spans="1:20" ht="19.95" customHeight="1" x14ac:dyDescent="0.3">
      <c r="D14" s="107"/>
      <c r="E14" s="108"/>
      <c r="F14" s="46" t="s">
        <v>225</v>
      </c>
    </row>
    <row r="15" spans="1:20" ht="19.95" customHeight="1" x14ac:dyDescent="0.3">
      <c r="D15" s="107"/>
      <c r="E15" s="108"/>
      <c r="F15" s="46" t="s">
        <v>247</v>
      </c>
    </row>
    <row r="16" spans="1:20" ht="19.95" customHeight="1" x14ac:dyDescent="0.3">
      <c r="D16" s="107">
        <v>2</v>
      </c>
      <c r="E16" s="8" t="s">
        <v>226</v>
      </c>
    </row>
    <row r="17" spans="4:6" ht="19.95" customHeight="1" x14ac:dyDescent="0.3">
      <c r="D17" s="107"/>
      <c r="E17" s="108"/>
      <c r="F17" s="46" t="s">
        <v>227</v>
      </c>
    </row>
    <row r="18" spans="4:6" ht="19.95" customHeight="1" x14ac:dyDescent="0.3">
      <c r="D18" s="107"/>
      <c r="E18" s="108"/>
      <c r="F18" s="46" t="s">
        <v>228</v>
      </c>
    </row>
    <row r="19" spans="4:6" ht="19.95" customHeight="1" x14ac:dyDescent="0.3">
      <c r="D19" s="107">
        <v>3</v>
      </c>
      <c r="E19" s="108" t="s">
        <v>229</v>
      </c>
    </row>
    <row r="20" spans="4:6" ht="19.95" customHeight="1" x14ac:dyDescent="0.3">
      <c r="D20" s="107"/>
      <c r="E20" s="108"/>
      <c r="F20" s="46" t="s">
        <v>238</v>
      </c>
    </row>
    <row r="21" spans="4:6" ht="19.95" customHeight="1" x14ac:dyDescent="0.3">
      <c r="D21" s="107"/>
      <c r="E21" s="108"/>
      <c r="F21" s="46" t="s">
        <v>248</v>
      </c>
    </row>
    <row r="22" spans="4:6" ht="19.95" customHeight="1" x14ac:dyDescent="0.3">
      <c r="D22" s="107"/>
      <c r="E22" s="108"/>
      <c r="F22" s="46" t="str">
        <f>"forms to the "&amp;Tables!$F$23&amp;" as intended.  The "&amp;Tables!$F$23&amp;" may host and distribute the unmodified Tool to prospective submitters for"</f>
        <v>forms to the County as intended.  The County may host and distribute the unmodified Tool to prospective submitters for</v>
      </c>
    </row>
    <row r="23" spans="4:6" ht="19.95" customHeight="1" x14ac:dyDescent="0.3">
      <c r="D23" s="107"/>
      <c r="E23" s="108"/>
      <c r="F23" s="46" t="s">
        <v>267</v>
      </c>
    </row>
    <row r="24" spans="4:6" ht="19.95" customHeight="1" x14ac:dyDescent="0.3">
      <c r="D24" s="107">
        <v>4</v>
      </c>
      <c r="E24" s="108" t="s">
        <v>230</v>
      </c>
    </row>
    <row r="25" spans="4:6" ht="19.95" customHeight="1" x14ac:dyDescent="0.3">
      <c r="D25" s="107"/>
      <c r="E25" s="108"/>
      <c r="F25" s="46" t="s">
        <v>239</v>
      </c>
    </row>
    <row r="26" spans="4:6" ht="19.95" customHeight="1" x14ac:dyDescent="0.3">
      <c r="D26" s="107"/>
      <c r="E26" s="108"/>
      <c r="F26" s="46" t="s">
        <v>249</v>
      </c>
    </row>
    <row r="27" spans="4:6" ht="19.95" customHeight="1" x14ac:dyDescent="0.3">
      <c r="D27" s="107"/>
      <c r="E27" s="108"/>
      <c r="F27" s="46" t="s">
        <v>250</v>
      </c>
    </row>
    <row r="28" spans="4:6" ht="19.95" customHeight="1" x14ac:dyDescent="0.3">
      <c r="D28" s="107">
        <v>5</v>
      </c>
      <c r="E28" s="108" t="s">
        <v>231</v>
      </c>
    </row>
    <row r="29" spans="4:6" ht="19.95" customHeight="1" x14ac:dyDescent="0.3">
      <c r="D29" s="107"/>
      <c r="E29" s="108"/>
      <c r="F29" s="46" t="str">
        <f>"Outputs and application materials generated with the Tool may be public records of "&amp;Tables!$F$39&amp;"; the Tool itself"</f>
        <v>Outputs and application materials generated with the Tool may be public records of Baldwin County; the Tool itself</v>
      </c>
    </row>
    <row r="30" spans="4:6" ht="19.95" customHeight="1" x14ac:dyDescent="0.3">
      <c r="D30" s="107"/>
      <c r="E30" s="108"/>
      <c r="F30" s="46" t="s">
        <v>251</v>
      </c>
    </row>
    <row r="31" spans="4:6" ht="19.95" customHeight="1" x14ac:dyDescent="0.3">
      <c r="D31" s="107">
        <v>6</v>
      </c>
      <c r="E31" s="108" t="s">
        <v>252</v>
      </c>
    </row>
    <row r="32" spans="4:6" ht="19.95" customHeight="1" x14ac:dyDescent="0.3">
      <c r="D32" s="107"/>
      <c r="E32" s="108"/>
      <c r="F32" s="46" t="str">
        <f>"The Tool is a convenience aid and does not constitute engineering, legal or compliance advice. The "&amp;Tables!$F$39&amp;"'s standards and"</f>
        <v>The Tool is a convenience aid and does not constitute engineering, legal or compliance advice. The Baldwin County's standards and</v>
      </c>
    </row>
    <row r="33" spans="4:6" ht="19.95" customHeight="1" x14ac:dyDescent="0.3">
      <c r="D33" s="107"/>
      <c r="E33" s="108"/>
      <c r="F33" s="46" t="s">
        <v>253</v>
      </c>
    </row>
    <row r="34" spans="4:6" ht="19.95" customHeight="1" x14ac:dyDescent="0.3">
      <c r="D34" s="107">
        <v>7</v>
      </c>
      <c r="E34" s="108" t="s">
        <v>232</v>
      </c>
    </row>
    <row r="35" spans="4:6" ht="19.95" customHeight="1" x14ac:dyDescent="0.3">
      <c r="D35" s="107"/>
      <c r="E35" s="108"/>
      <c r="F35" s="46" t="s">
        <v>254</v>
      </c>
    </row>
    <row r="36" spans="4:6" ht="19.95" customHeight="1" x14ac:dyDescent="0.3">
      <c r="D36" s="107"/>
      <c r="E36" s="108"/>
      <c r="F36" s="46" t="s">
        <v>268</v>
      </c>
    </row>
    <row r="37" spans="4:6" ht="19.95" customHeight="1" x14ac:dyDescent="0.3">
      <c r="D37" s="107"/>
      <c r="E37" s="108"/>
      <c r="F37" s="46" t="s">
        <v>240</v>
      </c>
    </row>
    <row r="38" spans="4:6" ht="19.95" customHeight="1" x14ac:dyDescent="0.3">
      <c r="D38" s="107">
        <v>8</v>
      </c>
      <c r="E38" s="108" t="s">
        <v>233</v>
      </c>
    </row>
    <row r="39" spans="4:6" ht="19.95" customHeight="1" x14ac:dyDescent="0.3">
      <c r="D39" s="107"/>
      <c r="E39" s="108"/>
      <c r="F39" s="46" t="s">
        <v>234</v>
      </c>
    </row>
    <row r="40" spans="4:6" ht="19.95" customHeight="1" x14ac:dyDescent="0.3">
      <c r="D40" s="107"/>
      <c r="E40" s="108"/>
      <c r="F40" s="46" t="s">
        <v>235</v>
      </c>
    </row>
    <row r="41" spans="4:6" ht="19.95" customHeight="1" x14ac:dyDescent="0.3">
      <c r="D41" s="107">
        <v>9</v>
      </c>
      <c r="E41" s="108" t="s">
        <v>255</v>
      </c>
    </row>
    <row r="42" spans="4:6" ht="19.95" customHeight="1" x14ac:dyDescent="0.3">
      <c r="D42" s="107"/>
      <c r="E42" s="108"/>
      <c r="F42" s="46" t="s">
        <v>256</v>
      </c>
    </row>
    <row r="43" spans="4:6" ht="19.95" customHeight="1" x14ac:dyDescent="0.3">
      <c r="D43" s="107">
        <v>10</v>
      </c>
      <c r="E43" s="108" t="s">
        <v>257</v>
      </c>
    </row>
    <row r="44" spans="4:6" ht="19.95" customHeight="1" x14ac:dyDescent="0.3">
      <c r="D44" s="107"/>
      <c r="E44" s="108"/>
      <c r="F44" s="46" t="s">
        <v>258</v>
      </c>
    </row>
    <row r="45" spans="4:6" ht="19.95" customHeight="1" x14ac:dyDescent="0.3">
      <c r="D45" s="107"/>
      <c r="E45" s="108"/>
      <c r="F45" s="46" t="s">
        <v>259</v>
      </c>
    </row>
    <row r="46" spans="4:6" ht="19.95" customHeight="1" x14ac:dyDescent="0.3">
      <c r="D46" s="107">
        <v>11</v>
      </c>
      <c r="E46" s="108" t="s">
        <v>260</v>
      </c>
    </row>
    <row r="47" spans="4:6" ht="19.95" customHeight="1" x14ac:dyDescent="0.3">
      <c r="D47" s="107"/>
      <c r="E47" s="108"/>
      <c r="F47" s="46" t="s">
        <v>261</v>
      </c>
    </row>
    <row r="48" spans="4:6" ht="19.95" customHeight="1" x14ac:dyDescent="0.3">
      <c r="D48" s="107"/>
      <c r="E48" s="108"/>
      <c r="F48" s="46" t="s">
        <v>262</v>
      </c>
    </row>
    <row r="49" spans="4:6" ht="19.95" customHeight="1" x14ac:dyDescent="0.3">
      <c r="D49" s="107"/>
      <c r="E49" s="108"/>
      <c r="F49" s="46" t="s">
        <v>263</v>
      </c>
    </row>
    <row r="50" spans="4:6" ht="19.95" customHeight="1" x14ac:dyDescent="0.3">
      <c r="D50" s="107"/>
      <c r="E50" s="108"/>
      <c r="F50" s="46" t="s">
        <v>264</v>
      </c>
    </row>
    <row r="51" spans="4:6" ht="19.95" customHeight="1" x14ac:dyDescent="0.3">
      <c r="D51" s="107">
        <v>12</v>
      </c>
      <c r="E51" s="108" t="s">
        <v>236</v>
      </c>
    </row>
    <row r="52" spans="4:6" ht="19.95" customHeight="1" x14ac:dyDescent="0.3">
      <c r="D52" s="107"/>
      <c r="E52" s="108"/>
      <c r="F52" s="46" t="s">
        <v>265</v>
      </c>
    </row>
    <row r="53" spans="4:6" ht="19.95" customHeight="1" x14ac:dyDescent="0.3">
      <c r="D53" s="107"/>
      <c r="E53" s="108"/>
    </row>
    <row r="54" spans="4:6" ht="19.95" customHeight="1" x14ac:dyDescent="0.3">
      <c r="D54" s="107"/>
      <c r="E54" s="108"/>
    </row>
    <row r="55" spans="4:6" ht="19.95" customHeight="1" x14ac:dyDescent="0.3">
      <c r="D55" s="107"/>
      <c r="E55" s="108"/>
    </row>
  </sheetData>
  <sheetProtection algorithmName="SHA-512" hashValue="lCf21Ez3x/IxPfVe4nWNKRiAqQJCz45C5X2fWamFjnCzIpL3A5WEKHbeDWsSPeWpdCaV668fEPHVCeN53Jfqkg==" saltValue="Kp99I9mSEiqeJhdpsI4wDw==" spinCount="100000" sheet="1" objects="1" scenarios="1" selectLockedCells="1"/>
  <mergeCells count="3">
    <mergeCell ref="F3:H3"/>
    <mergeCell ref="O1:P1"/>
    <mergeCell ref="O2:P2"/>
  </mergeCells>
  <conditionalFormatting sqref="F2">
    <cfRule type="expression" dxfId="124" priority="1445">
      <formula>$A$2=2</formula>
    </cfRule>
  </conditionalFormatting>
  <conditionalFormatting sqref="F3:H3">
    <cfRule type="expression" dxfId="123" priority="1446">
      <formula>$A$3=2</formula>
    </cfRule>
    <cfRule type="expression" dxfId="122" priority="1447">
      <formula>$A$3=2</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E8D3736-A416-4CBD-8944-80A6382E9205}">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FF372-B532-449D-9FA5-65D10282E9F1}">
  <sheetPr codeName="Sheet4">
    <tabColor theme="2" tint="-0.499984740745262"/>
    <pageSetUpPr fitToPage="1"/>
  </sheetPr>
  <dimension ref="A1:V57"/>
  <sheetViews>
    <sheetView showGridLines="0" showRowColHeaders="0" zoomScale="130" zoomScaleNormal="130" workbookViewId="0"/>
  </sheetViews>
  <sheetFormatPr defaultColWidth="0" defaultRowHeight="0" customHeight="1" zeroHeight="1" x14ac:dyDescent="0.3"/>
  <cols>
    <col min="1" max="1" width="2.77734375" style="46" customWidth="1"/>
    <col min="2" max="2" width="5.77734375" style="45" customWidth="1"/>
    <col min="3" max="8" width="2.77734375" style="46" customWidth="1"/>
    <col min="9" max="10" width="8.88671875" style="46" customWidth="1"/>
    <col min="11" max="11" width="20.5546875" style="46" customWidth="1"/>
    <col min="12" max="16" width="8.88671875" style="46" customWidth="1"/>
    <col min="17" max="18" width="10.77734375" style="46" customWidth="1"/>
    <col min="19" max="22" width="8.88671875" style="46" customWidth="1"/>
    <col min="23" max="16384" width="8.88671875" style="46" hidden="1"/>
  </cols>
  <sheetData>
    <row r="1" spans="2:17" ht="19.95" customHeight="1" x14ac:dyDescent="0.3"/>
    <row r="2" spans="2:17" ht="19.95" customHeight="1" x14ac:dyDescent="0.3">
      <c r="B2" s="47" t="s">
        <v>27</v>
      </c>
    </row>
    <row r="3" spans="2:17" ht="4.95" customHeight="1" x14ac:dyDescent="0.3">
      <c r="B3" s="47"/>
    </row>
    <row r="4" spans="2:17" ht="19.95" customHeight="1" x14ac:dyDescent="0.3">
      <c r="B4" s="45">
        <v>1</v>
      </c>
      <c r="C4" s="147" t="s">
        <v>135</v>
      </c>
      <c r="D4" s="147"/>
      <c r="E4" s="147"/>
      <c r="F4" s="147"/>
      <c r="G4" s="147"/>
      <c r="H4" s="147"/>
      <c r="I4" s="147"/>
      <c r="J4" s="147"/>
      <c r="K4" s="147"/>
      <c r="L4" s="147"/>
      <c r="M4" s="147"/>
      <c r="N4" s="147"/>
      <c r="O4" s="147"/>
      <c r="P4" s="147"/>
      <c r="Q4" s="147"/>
    </row>
    <row r="5" spans="2:17" ht="19.95" customHeight="1" x14ac:dyDescent="0.3">
      <c r="C5" s="147"/>
      <c r="D5" s="147"/>
      <c r="E5" s="147"/>
      <c r="F5" s="147"/>
      <c r="G5" s="147"/>
      <c r="H5" s="147"/>
      <c r="I5" s="147"/>
      <c r="J5" s="147"/>
      <c r="K5" s="147"/>
      <c r="L5" s="147"/>
      <c r="M5" s="147"/>
      <c r="N5" s="147"/>
      <c r="O5" s="147"/>
      <c r="P5" s="147"/>
      <c r="Q5" s="147"/>
    </row>
    <row r="6" spans="2:17" ht="19.95" customHeight="1" x14ac:dyDescent="0.3">
      <c r="B6" s="45">
        <f>B4+1</f>
        <v>2</v>
      </c>
      <c r="C6" s="46" t="s">
        <v>28</v>
      </c>
    </row>
    <row r="7" spans="2:17" ht="19.95" customHeight="1" x14ac:dyDescent="0.3">
      <c r="C7" s="48"/>
      <c r="D7" s="48"/>
      <c r="E7" s="48"/>
      <c r="F7" s="48"/>
      <c r="I7" s="46" t="s">
        <v>26</v>
      </c>
    </row>
    <row r="8" spans="2:17" ht="10.050000000000001" customHeight="1" x14ac:dyDescent="0.3"/>
    <row r="9" spans="2:17" ht="15" customHeight="1" x14ac:dyDescent="0.3">
      <c r="C9" s="49"/>
      <c r="D9" s="49"/>
      <c r="E9" s="49"/>
      <c r="F9" s="49"/>
      <c r="I9" s="147" t="s">
        <v>117</v>
      </c>
      <c r="J9" s="147"/>
      <c r="K9" s="147"/>
      <c r="L9" s="147"/>
      <c r="M9" s="147"/>
      <c r="N9" s="147"/>
      <c r="O9" s="147"/>
      <c r="P9" s="147"/>
      <c r="Q9" s="147"/>
    </row>
    <row r="10" spans="2:17" ht="15" customHeight="1" x14ac:dyDescent="0.3">
      <c r="I10" s="147"/>
      <c r="J10" s="147"/>
      <c r="K10" s="147"/>
      <c r="L10" s="147"/>
      <c r="M10" s="147"/>
      <c r="N10" s="147"/>
      <c r="O10" s="147"/>
      <c r="P10" s="147"/>
      <c r="Q10" s="147"/>
    </row>
    <row r="11" spans="2:17" ht="10.050000000000001" customHeight="1" x14ac:dyDescent="0.3">
      <c r="I11" s="50"/>
      <c r="J11" s="50"/>
      <c r="K11" s="50"/>
      <c r="L11" s="50"/>
      <c r="M11" s="50"/>
      <c r="N11" s="50"/>
      <c r="O11" s="50"/>
      <c r="P11" s="50"/>
      <c r="Q11" s="50"/>
    </row>
    <row r="12" spans="2:17" ht="15" customHeight="1" x14ac:dyDescent="0.3">
      <c r="F12" s="39"/>
      <c r="I12" s="147" t="s">
        <v>139</v>
      </c>
      <c r="J12" s="147"/>
      <c r="K12" s="147"/>
      <c r="L12" s="147"/>
      <c r="M12" s="147"/>
      <c r="N12" s="147"/>
      <c r="O12" s="147"/>
      <c r="P12" s="147"/>
      <c r="Q12" s="147"/>
    </row>
    <row r="13" spans="2:17" ht="15" customHeight="1" x14ac:dyDescent="0.3">
      <c r="I13" s="147"/>
      <c r="J13" s="147"/>
      <c r="K13" s="147"/>
      <c r="L13" s="147"/>
      <c r="M13" s="147"/>
      <c r="N13" s="147"/>
      <c r="O13" s="147"/>
      <c r="P13" s="147"/>
      <c r="Q13" s="147"/>
    </row>
    <row r="14" spans="2:17" ht="15" customHeight="1" x14ac:dyDescent="0.3">
      <c r="I14" s="147"/>
      <c r="J14" s="147"/>
      <c r="K14" s="147"/>
      <c r="L14" s="147"/>
      <c r="M14" s="147"/>
      <c r="N14" s="147"/>
      <c r="O14" s="147"/>
      <c r="P14" s="147"/>
      <c r="Q14" s="147"/>
    </row>
    <row r="15" spans="2:17" ht="15" customHeight="1" x14ac:dyDescent="0.3">
      <c r="I15" s="147"/>
      <c r="J15" s="147"/>
      <c r="K15" s="147"/>
      <c r="L15" s="147"/>
      <c r="M15" s="147"/>
      <c r="N15" s="147"/>
      <c r="O15" s="147"/>
      <c r="P15" s="147"/>
      <c r="Q15" s="147"/>
    </row>
    <row r="16" spans="2:17" ht="10.050000000000001" customHeight="1" x14ac:dyDescent="0.3">
      <c r="I16" s="51"/>
      <c r="J16" s="51"/>
      <c r="K16" s="51"/>
      <c r="L16" s="51"/>
      <c r="M16" s="51"/>
      <c r="N16" s="51"/>
      <c r="O16" s="51"/>
      <c r="P16" s="51"/>
      <c r="Q16" s="51"/>
    </row>
    <row r="17" spans="3:17" ht="15" customHeight="1" x14ac:dyDescent="0.3">
      <c r="C17" s="39"/>
      <c r="D17" s="4" t="s">
        <v>58</v>
      </c>
      <c r="E17" s="4"/>
      <c r="F17" s="39"/>
      <c r="G17" s="4" t="s">
        <v>59</v>
      </c>
      <c r="I17" s="147" t="s">
        <v>90</v>
      </c>
      <c r="J17" s="147"/>
      <c r="K17" s="147"/>
      <c r="L17" s="147"/>
      <c r="M17" s="147"/>
      <c r="N17" s="147"/>
      <c r="O17" s="147"/>
      <c r="P17" s="147"/>
      <c r="Q17" s="147"/>
    </row>
    <row r="18" spans="3:17" ht="15" customHeight="1" x14ac:dyDescent="0.3">
      <c r="I18" s="147"/>
      <c r="J18" s="147"/>
      <c r="K18" s="147"/>
      <c r="L18" s="147"/>
      <c r="M18" s="147"/>
      <c r="N18" s="147"/>
      <c r="O18" s="147"/>
      <c r="P18" s="147"/>
      <c r="Q18" s="147"/>
    </row>
    <row r="19" spans="3:17" ht="10.050000000000001" customHeight="1" x14ac:dyDescent="0.3"/>
    <row r="20" spans="3:17" ht="15" customHeight="1" x14ac:dyDescent="0.3">
      <c r="C20" s="52"/>
      <c r="D20" s="52"/>
      <c r="E20" s="52"/>
      <c r="F20" s="52"/>
      <c r="I20" s="147" t="s">
        <v>115</v>
      </c>
      <c r="J20" s="147"/>
      <c r="K20" s="147"/>
      <c r="L20" s="147"/>
      <c r="M20" s="147"/>
      <c r="N20" s="147"/>
      <c r="O20" s="147"/>
      <c r="P20" s="147"/>
      <c r="Q20" s="147"/>
    </row>
    <row r="21" spans="3:17" ht="15" customHeight="1" x14ac:dyDescent="0.3">
      <c r="I21" s="147"/>
      <c r="J21" s="147"/>
      <c r="K21" s="147"/>
      <c r="L21" s="147"/>
      <c r="M21" s="147"/>
      <c r="N21" s="147"/>
      <c r="O21" s="147"/>
      <c r="P21" s="147"/>
      <c r="Q21" s="147"/>
    </row>
    <row r="22" spans="3:17" ht="15" customHeight="1" x14ac:dyDescent="0.3">
      <c r="I22" s="147"/>
      <c r="J22" s="147"/>
      <c r="K22" s="147"/>
      <c r="L22" s="147"/>
      <c r="M22" s="147"/>
      <c r="N22" s="147"/>
      <c r="O22" s="147"/>
      <c r="P22" s="147"/>
      <c r="Q22" s="147"/>
    </row>
    <row r="23" spans="3:17" ht="19.95" customHeight="1" x14ac:dyDescent="0.3">
      <c r="I23" s="147"/>
      <c r="J23" s="147"/>
      <c r="K23" s="147"/>
      <c r="L23" s="147"/>
      <c r="M23" s="147"/>
      <c r="N23" s="147"/>
      <c r="O23" s="147"/>
      <c r="P23" s="147"/>
      <c r="Q23" s="147"/>
    </row>
    <row r="24" spans="3:17" ht="10.050000000000001" customHeight="1" x14ac:dyDescent="0.3">
      <c r="I24" s="51"/>
      <c r="J24" s="51"/>
      <c r="K24" s="51"/>
      <c r="L24" s="51"/>
      <c r="M24" s="51"/>
      <c r="N24" s="51"/>
      <c r="O24" s="51"/>
      <c r="P24" s="51"/>
      <c r="Q24" s="51"/>
    </row>
    <row r="25" spans="3:17" ht="15" customHeight="1" x14ac:dyDescent="0.3">
      <c r="C25" s="53"/>
      <c r="D25" s="53"/>
      <c r="E25" s="53"/>
      <c r="F25" s="53"/>
      <c r="I25" s="147" t="s">
        <v>52</v>
      </c>
      <c r="J25" s="147"/>
      <c r="K25" s="147"/>
      <c r="L25" s="147"/>
      <c r="M25" s="147"/>
      <c r="N25" s="147"/>
      <c r="O25" s="147"/>
      <c r="P25" s="147"/>
      <c r="Q25" s="147"/>
    </row>
    <row r="26" spans="3:17" ht="15" customHeight="1" x14ac:dyDescent="0.3">
      <c r="I26" s="147"/>
      <c r="J26" s="147"/>
      <c r="K26" s="147"/>
      <c r="L26" s="147"/>
      <c r="M26" s="147"/>
      <c r="N26" s="147"/>
      <c r="O26" s="147"/>
      <c r="P26" s="147"/>
      <c r="Q26" s="147"/>
    </row>
    <row r="27" spans="3:17" ht="10.050000000000001" customHeight="1" x14ac:dyDescent="0.3"/>
    <row r="28" spans="3:17" ht="19.95" customHeight="1" x14ac:dyDescent="0.3">
      <c r="C28" s="54" t="s">
        <v>14</v>
      </c>
      <c r="D28" s="54"/>
      <c r="E28" s="54"/>
      <c r="F28" s="54"/>
      <c r="I28" s="46" t="s">
        <v>134</v>
      </c>
    </row>
    <row r="29" spans="3:17" ht="10.050000000000001" customHeight="1" x14ac:dyDescent="0.3"/>
    <row r="30" spans="3:17" ht="19.95" customHeight="1" x14ac:dyDescent="0.3">
      <c r="C30" s="8" t="s">
        <v>15</v>
      </c>
      <c r="D30" s="8"/>
      <c r="E30" s="8"/>
      <c r="F30" s="8"/>
      <c r="I30" s="46" t="s">
        <v>30</v>
      </c>
    </row>
    <row r="31" spans="3:17" ht="10.050000000000001" customHeight="1" x14ac:dyDescent="0.3"/>
    <row r="32" spans="3:17" ht="19.95" customHeight="1" x14ac:dyDescent="0.3">
      <c r="C32" s="8" t="s">
        <v>11</v>
      </c>
      <c r="D32" s="8"/>
      <c r="E32" s="8"/>
      <c r="F32" s="8"/>
      <c r="I32" s="46" t="s">
        <v>53</v>
      </c>
    </row>
    <row r="33" spans="2:17" ht="10.050000000000001" customHeight="1" x14ac:dyDescent="0.3"/>
    <row r="34" spans="2:17" ht="19.95" customHeight="1" x14ac:dyDescent="0.3">
      <c r="B34" s="45">
        <f>B6+1</f>
        <v>3</v>
      </c>
      <c r="C34" s="46" t="s">
        <v>91</v>
      </c>
    </row>
    <row r="35" spans="2:17" ht="19.95" customHeight="1" x14ac:dyDescent="0.3">
      <c r="B35" s="45">
        <f>B34+1</f>
        <v>4</v>
      </c>
      <c r="C35" s="147" t="s">
        <v>92</v>
      </c>
      <c r="D35" s="147"/>
      <c r="E35" s="147"/>
      <c r="F35" s="147"/>
      <c r="G35" s="147"/>
      <c r="H35" s="147"/>
      <c r="I35" s="147"/>
      <c r="J35" s="147"/>
      <c r="K35" s="147"/>
      <c r="L35" s="147"/>
      <c r="M35" s="147"/>
      <c r="N35" s="147"/>
      <c r="O35" s="147"/>
      <c r="P35" s="147"/>
      <c r="Q35" s="147"/>
    </row>
    <row r="36" spans="2:17" ht="15" customHeight="1" x14ac:dyDescent="0.3">
      <c r="C36" s="147"/>
      <c r="D36" s="147"/>
      <c r="E36" s="147"/>
      <c r="F36" s="147"/>
      <c r="G36" s="147"/>
      <c r="H36" s="147"/>
      <c r="I36" s="147"/>
      <c r="J36" s="147"/>
      <c r="K36" s="147"/>
      <c r="L36" s="147"/>
      <c r="M36" s="147"/>
      <c r="N36" s="147"/>
      <c r="O36" s="147"/>
      <c r="P36" s="147"/>
      <c r="Q36" s="147"/>
    </row>
    <row r="37" spans="2:17" ht="19.95" customHeight="1" x14ac:dyDescent="0.3">
      <c r="B37" s="45">
        <v>5</v>
      </c>
      <c r="C37" s="147" t="s">
        <v>93</v>
      </c>
      <c r="D37" s="147"/>
      <c r="E37" s="147"/>
      <c r="F37" s="147"/>
      <c r="G37" s="147"/>
      <c r="H37" s="147"/>
      <c r="I37" s="147"/>
      <c r="J37" s="147"/>
      <c r="K37" s="147"/>
      <c r="L37" s="147"/>
      <c r="M37" s="147"/>
      <c r="N37" s="147"/>
      <c r="O37" s="147"/>
      <c r="P37" s="147"/>
      <c r="Q37" s="147"/>
    </row>
    <row r="38" spans="2:17" ht="19.95" customHeight="1" x14ac:dyDescent="0.3">
      <c r="C38" s="147"/>
      <c r="D38" s="147"/>
      <c r="E38" s="147"/>
      <c r="F38" s="147"/>
      <c r="G38" s="147"/>
      <c r="H38" s="147"/>
      <c r="I38" s="147"/>
      <c r="J38" s="147"/>
      <c r="K38" s="147"/>
      <c r="L38" s="147"/>
      <c r="M38" s="147"/>
      <c r="N38" s="147"/>
      <c r="O38" s="147"/>
      <c r="P38" s="147"/>
      <c r="Q38" s="147"/>
    </row>
    <row r="39" spans="2:17" ht="12" customHeight="1" x14ac:dyDescent="0.3">
      <c r="C39" s="147"/>
      <c r="D39" s="147"/>
      <c r="E39" s="147"/>
      <c r="F39" s="147"/>
      <c r="G39" s="147"/>
      <c r="H39" s="147"/>
      <c r="I39" s="147"/>
      <c r="J39" s="147"/>
      <c r="K39" s="147"/>
      <c r="L39" s="147"/>
      <c r="M39" s="147"/>
      <c r="N39" s="147"/>
      <c r="O39" s="147"/>
      <c r="P39" s="147"/>
      <c r="Q39" s="147"/>
    </row>
    <row r="40" spans="2:17" ht="19.95" customHeight="1" x14ac:dyDescent="0.3">
      <c r="B40" s="45">
        <v>6</v>
      </c>
      <c r="C40" s="46" t="s">
        <v>113</v>
      </c>
    </row>
    <row r="41" spans="2:17" ht="19.95" customHeight="1" x14ac:dyDescent="0.3"/>
    <row r="42" spans="2:17" ht="19.95" customHeight="1" x14ac:dyDescent="0.3"/>
    <row r="43" spans="2:17" ht="19.95" customHeight="1" x14ac:dyDescent="0.3"/>
    <row r="44" spans="2:17" ht="19.95" customHeight="1" x14ac:dyDescent="0.3"/>
    <row r="45" spans="2:17" ht="19.95" customHeight="1" x14ac:dyDescent="0.3"/>
    <row r="46" spans="2:17" ht="19.95" customHeight="1" x14ac:dyDescent="0.3"/>
    <row r="47" spans="2:17" ht="19.95" customHeight="1" x14ac:dyDescent="0.3"/>
    <row r="48" spans="2:17" ht="19.95" customHeight="1" x14ac:dyDescent="0.3"/>
    <row r="49" ht="19.95" customHeight="1" x14ac:dyDescent="0.3"/>
    <row r="50" ht="19.95" customHeight="1" x14ac:dyDescent="0.3"/>
    <row r="51" ht="19.95" customHeight="1" x14ac:dyDescent="0.3"/>
    <row r="52" ht="19.95" customHeight="1" x14ac:dyDescent="0.3"/>
    <row r="53" ht="19.95" customHeight="1" x14ac:dyDescent="0.3"/>
    <row r="54" ht="19.95" customHeight="1" x14ac:dyDescent="0.3"/>
    <row r="55" ht="19.95" customHeight="1" x14ac:dyDescent="0.3"/>
    <row r="56" ht="19.95" customHeight="1" x14ac:dyDescent="0.3"/>
    <row r="57" ht="19.95" customHeight="1" x14ac:dyDescent="0.3"/>
  </sheetData>
  <sheetProtection algorithmName="SHA-512" hashValue="ul6IvcGrrjE7Hx8p4b+aVtQ2/gPUG2tK5wiPRMN3OAQfOLZV4zB5seOmXM4wolxFCvRfqICcbayXJ3N9gAcJ/Q==" saltValue="2INk8RfAGBt9u9KAFK6m7Q=="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121" priority="3">
      <formula>ISBLANK(C17)</formula>
    </cfRule>
  </conditionalFormatting>
  <conditionalFormatting sqref="C9:F9">
    <cfRule type="expression" dxfId="120" priority="5">
      <formula>ISBLANK(C9)</formula>
    </cfRule>
  </conditionalFormatting>
  <conditionalFormatting sqref="F12">
    <cfRule type="expression" dxfId="119" priority="4">
      <formula>ISBLANK(F12)</formula>
    </cfRule>
  </conditionalFormatting>
  <conditionalFormatting sqref="F17">
    <cfRule type="expression" dxfId="118" priority="2">
      <formula>ISBLANK(F17)</formula>
    </cfRule>
  </conditionalFormatting>
  <pageMargins left="0.2" right="0.2" top="0.5" bottom="0.25" header="0.3" footer="0.3"/>
  <pageSetup scale="97"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BCFA-678D-4F47-972D-31E458267710}">
  <sheetPr codeName="Sheet5">
    <tabColor theme="9" tint="0.39997558519241921"/>
  </sheetPr>
  <dimension ref="A1:CE109"/>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4" customWidth="1"/>
    <col min="2" max="37" width="2.77734375" style="4" customWidth="1"/>
    <col min="38" max="38" width="10.33203125" style="34" hidden="1" customWidth="1"/>
    <col min="39" max="39" width="11" style="34" hidden="1" customWidth="1"/>
    <col min="40" max="42" width="9.21875" style="34" hidden="1" customWidth="1"/>
    <col min="43" max="43" width="12" style="34" hidden="1" customWidth="1"/>
    <col min="44" max="44" width="2.77734375" style="4" customWidth="1"/>
    <col min="45" max="45" width="3.77734375" style="4" customWidth="1"/>
    <col min="46" max="81" width="2.77734375" style="4" customWidth="1"/>
    <col min="82" max="83" width="8.88671875" style="4" customWidth="1"/>
    <col min="84" max="16384" width="8.88671875" style="4" hidden="1"/>
  </cols>
  <sheetData>
    <row r="1" spans="2:81" ht="15" customHeight="1" x14ac:dyDescent="0.3">
      <c r="V1" s="15"/>
      <c r="W1" s="156" t="s">
        <v>269</v>
      </c>
      <c r="X1" s="156"/>
      <c r="Y1" s="156"/>
      <c r="Z1" s="156"/>
      <c r="AA1" s="156"/>
      <c r="AB1" s="156"/>
      <c r="AC1" s="156"/>
      <c r="AD1" s="156"/>
      <c r="AE1" s="156"/>
      <c r="AF1" s="156"/>
      <c r="AG1" s="156"/>
      <c r="AH1" s="156"/>
      <c r="AI1" s="156"/>
      <c r="AJ1" s="156"/>
      <c r="AK1" s="156"/>
      <c r="AL1" s="35"/>
      <c r="AM1" s="35"/>
      <c r="AN1" s="35"/>
      <c r="AO1" s="35"/>
      <c r="AP1" s="35"/>
      <c r="AQ1" s="35"/>
      <c r="BH1" s="15"/>
      <c r="BI1" s="15"/>
      <c r="BJ1" s="15"/>
      <c r="BK1" s="15"/>
      <c r="BL1" s="156" t="str">
        <f>W1</f>
        <v>Form 2G - Level Spreader
Design Form</v>
      </c>
      <c r="BM1" s="156"/>
      <c r="BN1" s="156"/>
      <c r="BO1" s="156"/>
      <c r="BP1" s="156"/>
      <c r="BQ1" s="156"/>
      <c r="BR1" s="156"/>
      <c r="BS1" s="156"/>
      <c r="BT1" s="156"/>
      <c r="BU1" s="156"/>
      <c r="BV1" s="156"/>
      <c r="BW1" s="156"/>
      <c r="BX1" s="156"/>
      <c r="BY1" s="156"/>
      <c r="BZ1" s="156"/>
      <c r="CA1" s="10"/>
      <c r="CB1" s="10"/>
    </row>
    <row r="2" spans="2:81" ht="15" customHeight="1" x14ac:dyDescent="0.3">
      <c r="K2" s="5"/>
      <c r="Q2" s="5"/>
      <c r="R2" s="5"/>
      <c r="S2" s="5"/>
      <c r="T2" s="5"/>
      <c r="U2" s="15"/>
      <c r="V2" s="15"/>
      <c r="W2" s="156"/>
      <c r="X2" s="156"/>
      <c r="Y2" s="156"/>
      <c r="Z2" s="156"/>
      <c r="AA2" s="156"/>
      <c r="AB2" s="156"/>
      <c r="AC2" s="156"/>
      <c r="AD2" s="156"/>
      <c r="AE2" s="156"/>
      <c r="AF2" s="156"/>
      <c r="AG2" s="156"/>
      <c r="AH2" s="156"/>
      <c r="AI2" s="156"/>
      <c r="AJ2" s="156"/>
      <c r="AK2" s="156"/>
      <c r="AL2" s="35"/>
      <c r="AM2" s="35"/>
      <c r="AN2" s="35"/>
      <c r="AO2" s="35"/>
      <c r="AP2" s="35"/>
      <c r="AQ2" s="35"/>
      <c r="BG2" s="15"/>
      <c r="BH2" s="15"/>
      <c r="BI2" s="15"/>
      <c r="BJ2" s="15"/>
      <c r="BK2" s="15"/>
      <c r="BL2" s="156"/>
      <c r="BM2" s="156"/>
      <c r="BN2" s="156"/>
      <c r="BO2" s="156"/>
      <c r="BP2" s="156"/>
      <c r="BQ2" s="156"/>
      <c r="BR2" s="156"/>
      <c r="BS2" s="156"/>
      <c r="BT2" s="156"/>
      <c r="BU2" s="156"/>
      <c r="BV2" s="156"/>
      <c r="BW2" s="156"/>
      <c r="BX2" s="156"/>
      <c r="BY2" s="156"/>
      <c r="BZ2" s="156"/>
      <c r="CA2" s="10"/>
      <c r="CB2" s="10"/>
    </row>
    <row r="3" spans="2:81" ht="15" customHeight="1" x14ac:dyDescent="0.3">
      <c r="K3" s="5"/>
      <c r="L3" s="5"/>
      <c r="M3" s="5"/>
      <c r="N3" s="5"/>
      <c r="O3" s="5"/>
      <c r="P3" s="5"/>
      <c r="Q3" s="5"/>
      <c r="R3" s="5"/>
      <c r="S3" s="5"/>
      <c r="T3" s="5"/>
      <c r="U3" s="15"/>
      <c r="V3" s="15"/>
      <c r="W3" s="156"/>
      <c r="X3" s="156"/>
      <c r="Y3" s="156"/>
      <c r="Z3" s="156"/>
      <c r="AA3" s="156"/>
      <c r="AB3" s="156"/>
      <c r="AC3" s="156"/>
      <c r="AD3" s="156"/>
      <c r="AE3" s="156"/>
      <c r="AF3" s="156"/>
      <c r="AG3" s="156"/>
      <c r="AH3" s="156"/>
      <c r="AI3" s="156"/>
      <c r="AJ3" s="156"/>
      <c r="AK3" s="156"/>
      <c r="AL3" s="35"/>
      <c r="AM3" s="35"/>
      <c r="AN3" s="35"/>
      <c r="AO3" s="35"/>
      <c r="AP3" s="35"/>
      <c r="AQ3" s="35"/>
      <c r="BG3" s="15"/>
      <c r="BH3" s="15"/>
      <c r="BI3" s="15"/>
      <c r="BJ3" s="15"/>
      <c r="BK3" s="15"/>
      <c r="BL3" s="156"/>
      <c r="BM3" s="156"/>
      <c r="BN3" s="156"/>
      <c r="BO3" s="156"/>
      <c r="BP3" s="156"/>
      <c r="BQ3" s="156"/>
      <c r="BR3" s="156"/>
      <c r="BS3" s="156"/>
      <c r="BT3" s="156"/>
      <c r="BU3" s="156"/>
      <c r="BV3" s="156"/>
      <c r="BW3" s="156"/>
      <c r="BX3" s="156"/>
      <c r="BY3" s="156"/>
      <c r="BZ3" s="156"/>
      <c r="CA3" s="10"/>
      <c r="CB3" s="10"/>
    </row>
    <row r="4" spans="2:81" ht="15" customHeight="1" x14ac:dyDescent="0.3">
      <c r="K4" s="5"/>
      <c r="L4" s="5"/>
      <c r="M4" s="5"/>
      <c r="N4" s="5"/>
      <c r="O4" s="5"/>
      <c r="P4" s="5"/>
      <c r="Q4" s="5"/>
      <c r="R4" s="5"/>
      <c r="S4" s="5"/>
      <c r="T4" s="5"/>
      <c r="U4" s="15"/>
      <c r="V4" s="15"/>
      <c r="W4" s="156"/>
      <c r="X4" s="156"/>
      <c r="Y4" s="156"/>
      <c r="Z4" s="156"/>
      <c r="AA4" s="156"/>
      <c r="AB4" s="156"/>
      <c r="AC4" s="156"/>
      <c r="AD4" s="156"/>
      <c r="AE4" s="156"/>
      <c r="AF4" s="156"/>
      <c r="AG4" s="156"/>
      <c r="AH4" s="156"/>
      <c r="AI4" s="156"/>
      <c r="AJ4" s="156"/>
      <c r="AK4" s="156"/>
      <c r="AL4" s="35"/>
      <c r="AM4" s="35"/>
      <c r="AN4" s="35"/>
      <c r="AO4" s="35"/>
      <c r="AP4" s="35"/>
      <c r="AQ4" s="35"/>
      <c r="BG4" s="15"/>
      <c r="BH4" s="15"/>
      <c r="BI4" s="15"/>
      <c r="BJ4" s="15"/>
      <c r="BK4" s="15"/>
      <c r="BL4" s="156"/>
      <c r="BM4" s="156"/>
      <c r="BN4" s="156"/>
      <c r="BO4" s="156"/>
      <c r="BP4" s="156"/>
      <c r="BQ4" s="156"/>
      <c r="BR4" s="156"/>
      <c r="BS4" s="156"/>
      <c r="BT4" s="156"/>
      <c r="BU4" s="156"/>
      <c r="BV4" s="156"/>
      <c r="BW4" s="156"/>
      <c r="BX4" s="156"/>
      <c r="BY4" s="156"/>
      <c r="BZ4" s="156"/>
      <c r="CA4" s="10"/>
      <c r="CB4" s="10"/>
    </row>
    <row r="5" spans="2:81" ht="4.95" customHeight="1" x14ac:dyDescent="0.3">
      <c r="K5" s="5"/>
      <c r="L5" s="5"/>
      <c r="M5" s="5"/>
      <c r="N5" s="5"/>
      <c r="O5" s="5"/>
      <c r="P5" s="5"/>
      <c r="Q5" s="5"/>
      <c r="R5" s="5"/>
      <c r="S5" s="5"/>
      <c r="T5" s="5"/>
      <c r="U5" s="15"/>
      <c r="V5" s="15"/>
      <c r="W5" s="10"/>
      <c r="X5" s="10"/>
      <c r="Y5" s="10"/>
      <c r="Z5" s="10"/>
      <c r="AA5" s="10"/>
      <c r="AB5" s="10"/>
      <c r="AC5" s="10"/>
      <c r="AD5" s="10"/>
      <c r="AE5" s="10"/>
      <c r="AF5" s="10"/>
      <c r="AG5" s="10"/>
      <c r="AH5" s="10"/>
      <c r="AI5" s="10"/>
      <c r="AJ5" s="10"/>
      <c r="AK5" s="10"/>
      <c r="AL5" s="35"/>
      <c r="AM5" s="35"/>
      <c r="AN5" s="35"/>
      <c r="AO5" s="35"/>
      <c r="AP5" s="35"/>
      <c r="AQ5" s="35"/>
      <c r="BG5" s="10"/>
      <c r="BH5" s="10"/>
      <c r="BI5" s="10"/>
      <c r="BJ5" s="10"/>
      <c r="BK5" s="10"/>
      <c r="BL5" s="10"/>
      <c r="BM5" s="10"/>
      <c r="BN5" s="10"/>
      <c r="BO5" s="10"/>
      <c r="BP5" s="10"/>
      <c r="BQ5" s="10"/>
      <c r="BR5" s="10"/>
      <c r="BS5" s="10"/>
      <c r="BT5" s="10"/>
      <c r="BU5" s="10"/>
      <c r="BV5" s="10"/>
      <c r="BW5" s="10"/>
      <c r="BX5" s="10"/>
      <c r="BY5" s="10"/>
      <c r="BZ5" s="10"/>
      <c r="CA5" s="10"/>
      <c r="CB5" s="10"/>
    </row>
    <row r="6" spans="2:81" ht="15" customHeight="1" x14ac:dyDescent="0.3">
      <c r="B6" s="1" t="s">
        <v>0</v>
      </c>
      <c r="C6" s="1"/>
      <c r="D6" s="1"/>
      <c r="E6" s="1"/>
      <c r="F6" s="1"/>
      <c r="G6" s="1"/>
      <c r="H6" s="1"/>
      <c r="I6" s="1"/>
      <c r="J6" s="1"/>
      <c r="AB6" s="2" t="s">
        <v>170</v>
      </c>
      <c r="AC6" s="148"/>
      <c r="AD6" s="148"/>
      <c r="AE6" s="148"/>
      <c r="AF6" s="148"/>
      <c r="AG6" s="148"/>
      <c r="AH6" s="148"/>
      <c r="AI6" s="148"/>
      <c r="AJ6" s="148"/>
      <c r="AL6" s="35"/>
      <c r="AM6" s="35"/>
      <c r="BG6"/>
      <c r="BH6"/>
      <c r="BI6"/>
      <c r="BJ6"/>
      <c r="BK6"/>
      <c r="BL6"/>
      <c r="BM6"/>
      <c r="BN6"/>
      <c r="BO6"/>
      <c r="BP6"/>
      <c r="BQ6"/>
      <c r="BR6"/>
      <c r="BS6"/>
      <c r="BT6"/>
      <c r="BU6"/>
      <c r="BV6"/>
      <c r="BW6"/>
      <c r="BX6"/>
      <c r="BY6"/>
      <c r="BZ6"/>
      <c r="CA6"/>
      <c r="CB6"/>
      <c r="CC6"/>
    </row>
    <row r="7" spans="2:81" ht="15" customHeight="1" x14ac:dyDescent="0.3">
      <c r="C7" s="2"/>
      <c r="D7" s="2" t="s">
        <v>64</v>
      </c>
      <c r="E7" s="151"/>
      <c r="F7" s="151"/>
      <c r="G7" s="151"/>
      <c r="H7" s="151"/>
      <c r="I7" s="151"/>
      <c r="J7" s="151"/>
      <c r="K7" s="151"/>
      <c r="L7" s="151"/>
      <c r="M7" s="151"/>
      <c r="N7" s="151"/>
      <c r="O7" s="151"/>
      <c r="P7" s="151"/>
      <c r="Q7" s="151"/>
      <c r="R7" s="151"/>
      <c r="S7" s="151"/>
      <c r="T7" s="151"/>
      <c r="U7" s="151"/>
      <c r="V7" s="151"/>
      <c r="W7" s="151"/>
      <c r="X7" s="151"/>
      <c r="AD7" s="2" t="s">
        <v>83</v>
      </c>
      <c r="AE7" s="160"/>
      <c r="AF7" s="160"/>
      <c r="AG7" s="160"/>
      <c r="AH7" s="160"/>
      <c r="AI7" s="160"/>
      <c r="AJ7" s="160"/>
      <c r="AS7" s="163" t="s">
        <v>29</v>
      </c>
      <c r="AT7" s="163"/>
      <c r="AU7" s="163"/>
      <c r="AV7" s="163"/>
      <c r="AW7" s="163"/>
      <c r="AX7" s="163"/>
      <c r="AY7" s="163"/>
      <c r="AZ7" s="163"/>
      <c r="BA7" s="163"/>
      <c r="BB7" s="163"/>
      <c r="BC7" s="163"/>
      <c r="BD7" s="163"/>
      <c r="BE7" s="163"/>
      <c r="BF7" s="163"/>
      <c r="BG7" s="30"/>
      <c r="BH7" s="30"/>
      <c r="BI7" s="30"/>
      <c r="BJ7" s="30"/>
      <c r="BK7" s="30"/>
      <c r="BL7" s="30"/>
      <c r="BM7" s="30"/>
      <c r="BN7" s="30"/>
      <c r="BO7" s="30"/>
      <c r="BP7" s="30"/>
      <c r="BQ7" s="30"/>
      <c r="BR7" s="30"/>
      <c r="BS7" s="30"/>
      <c r="BT7" s="30"/>
      <c r="BU7" s="30"/>
      <c r="BV7" s="30"/>
      <c r="BW7" s="30"/>
      <c r="BX7" s="30"/>
      <c r="BY7" s="30"/>
      <c r="BZ7" s="30"/>
      <c r="CA7" s="30"/>
      <c r="CB7" s="30"/>
      <c r="CC7" s="30"/>
    </row>
    <row r="8" spans="2:81" ht="15" customHeight="1" x14ac:dyDescent="0.3">
      <c r="C8" s="2"/>
      <c r="D8" s="2" t="s">
        <v>65</v>
      </c>
      <c r="E8" s="152"/>
      <c r="F8" s="152"/>
      <c r="G8" s="152"/>
      <c r="H8" s="152"/>
      <c r="I8" s="152"/>
      <c r="J8" s="152"/>
      <c r="K8" s="152"/>
      <c r="L8" s="152"/>
      <c r="M8" s="152"/>
      <c r="N8" s="152"/>
      <c r="O8" s="152"/>
      <c r="P8" s="152"/>
      <c r="Q8" s="152"/>
      <c r="R8" s="152"/>
      <c r="S8" s="152"/>
      <c r="T8" s="152"/>
      <c r="U8" s="152"/>
      <c r="V8" s="152"/>
      <c r="W8" s="152"/>
      <c r="X8" s="152"/>
      <c r="AD8" s="2" t="s">
        <v>84</v>
      </c>
      <c r="AE8" s="150"/>
      <c r="AF8" s="150"/>
      <c r="AG8" s="150"/>
      <c r="AH8" s="150"/>
      <c r="AI8" s="150"/>
      <c r="AJ8" s="150"/>
      <c r="AS8" s="163"/>
      <c r="AT8" s="163"/>
      <c r="AU8" s="163"/>
      <c r="AV8" s="163"/>
      <c r="AW8" s="163"/>
      <c r="AX8" s="163"/>
      <c r="AY8" s="163"/>
      <c r="AZ8" s="163"/>
      <c r="BA8" s="163"/>
      <c r="BB8" s="163"/>
      <c r="BC8" s="163"/>
      <c r="BD8" s="163"/>
      <c r="BE8" s="163"/>
      <c r="BF8" s="163"/>
      <c r="BG8" s="29"/>
      <c r="BH8" s="29"/>
      <c r="BI8" s="29"/>
      <c r="BJ8" s="29"/>
      <c r="BK8" s="29"/>
      <c r="BL8" s="29"/>
      <c r="BM8" s="29"/>
      <c r="BN8" s="29"/>
      <c r="BO8" s="29"/>
      <c r="BP8" s="29"/>
      <c r="BQ8" s="29"/>
      <c r="BR8" s="29"/>
      <c r="BS8" s="29"/>
      <c r="BT8" s="29"/>
      <c r="BU8" s="29"/>
      <c r="BV8" s="29"/>
      <c r="BW8" s="29"/>
      <c r="BX8" s="29"/>
      <c r="BY8" s="29"/>
      <c r="BZ8" s="29"/>
      <c r="CA8" s="29"/>
      <c r="CB8" s="29"/>
      <c r="CC8" s="29"/>
    </row>
    <row r="9" spans="2:81" ht="4.95" customHeight="1" x14ac:dyDescent="0.3">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36"/>
      <c r="AM9" s="36"/>
      <c r="AN9" s="36"/>
      <c r="AO9" s="36"/>
      <c r="AP9" s="36"/>
      <c r="AQ9" s="36"/>
      <c r="AS9" s="14"/>
      <c r="BE9" s="29"/>
      <c r="BF9" s="29"/>
      <c r="BG9" s="29"/>
      <c r="BH9" s="29"/>
      <c r="BI9" s="29"/>
      <c r="BJ9" s="29"/>
      <c r="BK9" s="29"/>
      <c r="BL9" s="29"/>
      <c r="BM9" s="29"/>
      <c r="BN9" s="29"/>
      <c r="BO9" s="29"/>
      <c r="BP9" s="29"/>
      <c r="BQ9" s="29"/>
      <c r="BR9" s="29"/>
      <c r="BS9" s="29"/>
      <c r="BT9" s="29"/>
      <c r="BU9" s="29"/>
      <c r="BV9" s="29"/>
      <c r="BW9" s="29"/>
      <c r="BX9" s="29"/>
      <c r="BY9" s="29"/>
      <c r="BZ9" s="29"/>
      <c r="CA9" s="29"/>
      <c r="CB9" s="29"/>
      <c r="CC9" s="29"/>
    </row>
    <row r="10" spans="2:81" ht="15" customHeight="1" x14ac:dyDescent="0.3">
      <c r="B10" s="33" t="s">
        <v>57</v>
      </c>
      <c r="C10" s="33"/>
      <c r="D10" s="33"/>
      <c r="E10" s="33"/>
      <c r="G10" s="112"/>
      <c r="H10" s="4" t="s">
        <v>60</v>
      </c>
      <c r="N10" s="112"/>
      <c r="O10" s="4" t="s">
        <v>288</v>
      </c>
      <c r="AS10" s="14" t="s">
        <v>333</v>
      </c>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row>
    <row r="11" spans="2:81" ht="15" customHeight="1" x14ac:dyDescent="0.3">
      <c r="F11" s="2"/>
      <c r="G11" s="2"/>
      <c r="H11" s="2"/>
      <c r="I11" s="2"/>
      <c r="J11" s="2"/>
      <c r="Y11" s="6"/>
      <c r="AS11" s="38">
        <v>1</v>
      </c>
      <c r="AT11" s="33" t="s">
        <v>334</v>
      </c>
    </row>
    <row r="12" spans="2:81" ht="14.55" customHeight="1" x14ac:dyDescent="0.3">
      <c r="B12" s="1" t="s">
        <v>280</v>
      </c>
      <c r="Q12" s="165" t="s">
        <v>279</v>
      </c>
      <c r="R12" s="165"/>
      <c r="S12" s="165"/>
      <c r="T12" s="165"/>
      <c r="U12" s="165"/>
      <c r="Y12" s="6" t="s">
        <v>295</v>
      </c>
      <c r="AS12" s="38">
        <v>2</v>
      </c>
      <c r="AT12" s="4" t="s">
        <v>374</v>
      </c>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row>
    <row r="13" spans="2:81" ht="4.95" customHeight="1" x14ac:dyDescent="0.3">
      <c r="W13" s="114"/>
      <c r="X13" s="114"/>
      <c r="AS13" s="38"/>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row>
    <row r="14" spans="2:81" ht="14.55" customHeight="1" x14ac:dyDescent="0.3">
      <c r="C14" s="4" t="s">
        <v>102</v>
      </c>
      <c r="F14" s="37"/>
      <c r="G14" s="4" t="s">
        <v>271</v>
      </c>
      <c r="Q14" s="162">
        <f>Tables!$F$16</f>
        <v>6.02</v>
      </c>
      <c r="R14" s="162"/>
      <c r="U14" s="2" t="str">
        <f>Tables!$D$16</f>
        <v>(2-yr)</v>
      </c>
      <c r="V14" s="11"/>
      <c r="X14" s="164"/>
      <c r="Y14" s="164"/>
      <c r="Z14" s="164"/>
      <c r="AL14" s="69">
        <f>IF(AND(ISBLANK(F14),ISBLANK(F16),ISBLANK(F18),ISBLANK(F20),ISBLANK(F22)),1,2)</f>
        <v>1</v>
      </c>
      <c r="AT14" s="4" t="str">
        <f>"Hydrology for Small Watersheds Technical Release 55 (TR-55) or equivalent as approved by the "&amp;Tables!$F$23&amp;" Engineer"</f>
        <v>Hydrology for Small Watersheds Technical Release 55 (TR-55) or equivalent as approved by the County Engineer</v>
      </c>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row>
    <row r="15" spans="2:81" ht="4.95" customHeight="1" x14ac:dyDescent="0.3">
      <c r="U15" s="114"/>
      <c r="AS15" s="38"/>
      <c r="AV15" s="14"/>
      <c r="AW15" s="14"/>
      <c r="AX15" s="14"/>
      <c r="AY15" s="14"/>
      <c r="AZ15" s="14"/>
      <c r="BA15" s="14"/>
      <c r="BB15" s="14"/>
      <c r="BC15" s="14"/>
      <c r="BD15" s="14"/>
      <c r="BE15"/>
      <c r="BF15"/>
      <c r="BG15"/>
      <c r="BH15"/>
      <c r="BI15"/>
      <c r="BJ15"/>
      <c r="BK15"/>
      <c r="BL15"/>
      <c r="BM15"/>
      <c r="BN15"/>
      <c r="BO15"/>
      <c r="BP15"/>
      <c r="BQ15"/>
      <c r="BR15"/>
      <c r="BS15"/>
      <c r="BT15"/>
      <c r="BU15"/>
      <c r="BV15"/>
      <c r="BW15"/>
      <c r="BX15"/>
      <c r="BY15"/>
      <c r="BZ15"/>
      <c r="CA15"/>
      <c r="CB15"/>
      <c r="CC15"/>
    </row>
    <row r="16" spans="2:81" ht="14.55" customHeight="1" x14ac:dyDescent="0.3">
      <c r="F16" s="37"/>
      <c r="G16" s="4" t="s">
        <v>272</v>
      </c>
      <c r="K16" s="2"/>
      <c r="Q16" s="162">
        <f>Tables!$F$17</f>
        <v>7.68</v>
      </c>
      <c r="R16" s="162"/>
      <c r="U16" s="2" t="str">
        <f>Tables!$D$17</f>
        <v>(5-yr)</v>
      </c>
      <c r="X16" s="164"/>
      <c r="Y16" s="164"/>
      <c r="Z16" s="164"/>
      <c r="AS16" s="38">
        <v>3</v>
      </c>
      <c r="AT16" s="4" t="s">
        <v>335</v>
      </c>
      <c r="AV16" s="14"/>
      <c r="AW16" s="14"/>
      <c r="AX16" s="14"/>
      <c r="AY16" s="14"/>
      <c r="AZ16" s="14"/>
      <c r="BA16" s="14"/>
      <c r="BB16" s="14"/>
      <c r="BC16" s="14"/>
      <c r="BD16" s="14"/>
      <c r="BE16"/>
      <c r="BF16"/>
      <c r="BG16"/>
      <c r="BH16"/>
      <c r="BI16"/>
      <c r="BJ16"/>
      <c r="BK16"/>
      <c r="BL16"/>
      <c r="BM16"/>
      <c r="BN16"/>
      <c r="BO16"/>
      <c r="BP16"/>
      <c r="BQ16"/>
      <c r="BR16"/>
      <c r="BS16"/>
      <c r="BT16"/>
      <c r="BU16"/>
      <c r="BV16"/>
      <c r="BW16"/>
      <c r="BX16"/>
      <c r="BY16"/>
      <c r="BZ16"/>
      <c r="CA16"/>
      <c r="CB16"/>
      <c r="CC16"/>
    </row>
    <row r="17" spans="3:81" ht="4.95" customHeight="1" x14ac:dyDescent="0.3">
      <c r="AS17" s="38"/>
      <c r="AT17" s="14"/>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row>
    <row r="18" spans="3:81" ht="14.55" customHeight="1" x14ac:dyDescent="0.3">
      <c r="F18" s="37"/>
      <c r="G18" s="4" t="s">
        <v>273</v>
      </c>
      <c r="Q18" s="162">
        <f>Tables!$F$18</f>
        <v>9.26</v>
      </c>
      <c r="R18" s="162"/>
      <c r="U18" s="2" t="str">
        <f>Tables!$D$18</f>
        <v>(10-yr)</v>
      </c>
      <c r="X18" s="164"/>
      <c r="Y18" s="164"/>
      <c r="Z18" s="164"/>
      <c r="AS18" s="38">
        <v>4</v>
      </c>
      <c r="AT18" s="14" t="s">
        <v>337</v>
      </c>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row>
    <row r="19" spans="3:81" ht="4.95" customHeight="1" x14ac:dyDescent="0.3">
      <c r="AS19" s="38"/>
      <c r="AT19" s="14"/>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row>
    <row r="20" spans="3:81" ht="14.55" customHeight="1" x14ac:dyDescent="0.3">
      <c r="F20" s="37"/>
      <c r="G20" s="4" t="s">
        <v>274</v>
      </c>
      <c r="Q20" s="162">
        <f>Tables!$F$19</f>
        <v>11.7</v>
      </c>
      <c r="R20" s="162"/>
      <c r="U20" s="2" t="str">
        <f>Tables!$D$19</f>
        <v>(25-yr)</v>
      </c>
      <c r="X20" s="164"/>
      <c r="Y20" s="164"/>
      <c r="Z20" s="164"/>
      <c r="AB20" s="4" t="s">
        <v>281</v>
      </c>
      <c r="AS20" s="38">
        <v>5</v>
      </c>
      <c r="AT20" s="4" t="s">
        <v>338</v>
      </c>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row>
    <row r="21" spans="3:81" ht="4.95" customHeight="1" x14ac:dyDescent="0.3">
      <c r="AS21" s="38"/>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row>
    <row r="22" spans="3:81" ht="15" customHeight="1" x14ac:dyDescent="0.3">
      <c r="F22" s="37"/>
      <c r="G22" s="4" t="s">
        <v>282</v>
      </c>
      <c r="Q22" s="162">
        <f>Tables!$F$20</f>
        <v>13.9</v>
      </c>
      <c r="R22" s="162"/>
      <c r="U22" s="2" t="str">
        <f>Tables!$D$20</f>
        <v>(50-yr)</v>
      </c>
      <c r="X22" s="164"/>
      <c r="Y22" s="164"/>
      <c r="Z22" s="164"/>
      <c r="AL22" s="69">
        <f>IF(ISBLANK(F22),1,2)</f>
        <v>1</v>
      </c>
      <c r="AS22" s="38">
        <v>6</v>
      </c>
      <c r="AT22" s="4" t="s">
        <v>340</v>
      </c>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row>
    <row r="23" spans="3:81" ht="4.95" customHeight="1" x14ac:dyDescent="0.3">
      <c r="AS23" s="38"/>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row>
    <row r="24" spans="3:81" ht="15" customHeight="1" x14ac:dyDescent="0.3">
      <c r="C24" s="1"/>
      <c r="D24" s="1"/>
      <c r="E24" s="1"/>
      <c r="F24" s="1"/>
      <c r="G24" s="1"/>
      <c r="H24" s="1"/>
      <c r="I24" s="1"/>
      <c r="J24" s="1"/>
      <c r="Q24" s="162">
        <f>Tables!$F$21</f>
        <v>16.3</v>
      </c>
      <c r="R24" s="162"/>
      <c r="U24" s="2" t="str">
        <f>Tables!$D$21</f>
        <v>(100-yr)</v>
      </c>
      <c r="X24" s="164"/>
      <c r="Y24" s="164"/>
      <c r="Z24" s="164"/>
      <c r="AP24" s="36" t="s">
        <v>31</v>
      </c>
      <c r="AQ24" s="69" t="str">
        <f>IF(K30="Riprap apron","Yes","No")</f>
        <v>No</v>
      </c>
      <c r="AS24" s="38"/>
      <c r="AT24" s="6" t="s">
        <v>39</v>
      </c>
      <c r="AU24" s="4" t="s">
        <v>341</v>
      </c>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row>
    <row r="25" spans="3:81" ht="14.55" customHeight="1" x14ac:dyDescent="0.3">
      <c r="C25" s="4" t="s">
        <v>304</v>
      </c>
      <c r="F25" s="2"/>
      <c r="AP25" s="36" t="s">
        <v>371</v>
      </c>
      <c r="AQ25" s="69">
        <f>Y30</f>
        <v>0</v>
      </c>
      <c r="AS25" s="38"/>
      <c r="AT25" s="6" t="s">
        <v>40</v>
      </c>
      <c r="AU25" s="4" t="s">
        <v>348</v>
      </c>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row>
    <row r="26" spans="3:81" ht="15" customHeight="1" x14ac:dyDescent="0.3">
      <c r="F26" s="2"/>
      <c r="G26" s="2" t="s">
        <v>118</v>
      </c>
      <c r="H26" s="151"/>
      <c r="I26" s="151"/>
      <c r="J26" s="151"/>
      <c r="K26" s="151"/>
      <c r="P26" s="2" t="s">
        <v>121</v>
      </c>
      <c r="Q26" s="151"/>
      <c r="R26" s="151"/>
      <c r="S26" s="151"/>
      <c r="T26" s="151"/>
      <c r="X26" s="2" t="s">
        <v>122</v>
      </c>
      <c r="Y26" s="154"/>
      <c r="Z26" s="154"/>
      <c r="AA26" s="154"/>
      <c r="AB26" s="4" t="s">
        <v>19</v>
      </c>
      <c r="AF26" s="2" t="s">
        <v>285</v>
      </c>
      <c r="AG26" s="154"/>
      <c r="AH26" s="154"/>
      <c r="AI26" s="154"/>
      <c r="AJ26" s="4" t="s">
        <v>151</v>
      </c>
      <c r="AP26" s="36" t="s">
        <v>373</v>
      </c>
      <c r="AQ26" s="142" t="e">
        <f>VLOOKUP(AQ25,$AP$32:$AQ$36,2)</f>
        <v>#N/A</v>
      </c>
      <c r="AS26" s="38"/>
      <c r="AT26" s="6" t="s">
        <v>48</v>
      </c>
      <c r="AU26" s="4" t="s">
        <v>347</v>
      </c>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row>
    <row r="27" spans="3:81" ht="4.95" customHeight="1" x14ac:dyDescent="0.3">
      <c r="AS27" s="38"/>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row>
    <row r="28" spans="3:81" ht="15" customHeight="1" x14ac:dyDescent="0.3">
      <c r="G28" s="2" t="s">
        <v>119</v>
      </c>
      <c r="H28" s="154"/>
      <c r="I28" s="154"/>
      <c r="J28" s="154"/>
      <c r="K28" s="4" t="s">
        <v>19</v>
      </c>
      <c r="M28" s="115" t="s">
        <v>293</v>
      </c>
      <c r="P28" s="2" t="s">
        <v>291</v>
      </c>
      <c r="Q28" s="154"/>
      <c r="R28" s="154"/>
      <c r="S28" s="154"/>
      <c r="T28" s="4" t="s">
        <v>19</v>
      </c>
      <c r="X28" s="2" t="s">
        <v>292</v>
      </c>
      <c r="Y28" s="154"/>
      <c r="Z28" s="154"/>
      <c r="AA28" s="154"/>
      <c r="AB28" s="4" t="s">
        <v>19</v>
      </c>
      <c r="AF28" s="2" t="s">
        <v>290</v>
      </c>
      <c r="AG28" s="154"/>
      <c r="AH28" s="154"/>
      <c r="AI28" s="154"/>
      <c r="AJ28" s="4" t="s">
        <v>19</v>
      </c>
      <c r="AL28" s="69">
        <f>IF(ISBLANK(H28),1,2)</f>
        <v>1</v>
      </c>
      <c r="AM28" s="69">
        <f>IF(AND(ISBLANK(Q28),ISBLANK(Y28)),1,2)</f>
        <v>1</v>
      </c>
      <c r="AS28" s="38"/>
      <c r="AT28" s="6" t="s">
        <v>49</v>
      </c>
      <c r="AU28" s="4" t="s">
        <v>339</v>
      </c>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row>
    <row r="29" spans="3:81" ht="15" customHeight="1" x14ac:dyDescent="0.3">
      <c r="AP29" s="62" t="s">
        <v>31</v>
      </c>
      <c r="AS29" s="38"/>
      <c r="AT29" s="6" t="s">
        <v>47</v>
      </c>
      <c r="AU29" s="4" t="s">
        <v>342</v>
      </c>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row>
    <row r="30" spans="3:81" ht="15" customHeight="1" x14ac:dyDescent="0.3">
      <c r="C30" s="4" t="s">
        <v>196</v>
      </c>
      <c r="D30" s="1"/>
      <c r="E30" s="1"/>
      <c r="J30" s="2" t="s">
        <v>189</v>
      </c>
      <c r="K30" s="151"/>
      <c r="L30" s="151"/>
      <c r="M30" s="151"/>
      <c r="N30" s="151"/>
      <c r="O30" s="151"/>
      <c r="P30" s="151"/>
      <c r="Q30" s="151"/>
      <c r="R30" s="151"/>
      <c r="S30" s="151"/>
      <c r="X30" s="2" t="str">
        <f>IF(AQ24="Yes","Riprap Class: ","")</f>
        <v/>
      </c>
      <c r="Y30" s="176"/>
      <c r="Z30" s="176"/>
      <c r="AE30" s="2" t="s">
        <v>195</v>
      </c>
      <c r="AF30" s="112"/>
      <c r="AG30" s="4" t="s">
        <v>58</v>
      </c>
      <c r="AI30" s="112"/>
      <c r="AJ30" s="12" t="s">
        <v>73</v>
      </c>
      <c r="AL30" s="69">
        <f>IF(ISBLANK(K30),1,0)</f>
        <v>1</v>
      </c>
      <c r="AM30" s="71">
        <f>IF(AND(ISBLANK(AF30),ISBLANK(AI30)),1,0)</f>
        <v>1</v>
      </c>
      <c r="AN30" s="69">
        <f>IF(ISBLANK(AI30),1,2)</f>
        <v>1</v>
      </c>
      <c r="AO30" s="71">
        <f>SUM(AL30:AM30,AL32:AN32)</f>
        <v>5</v>
      </c>
      <c r="AP30" s="62" t="s">
        <v>371</v>
      </c>
      <c r="AQ30" s="34" t="s">
        <v>372</v>
      </c>
      <c r="AS30" s="38">
        <v>7</v>
      </c>
      <c r="AT30" s="4" t="s">
        <v>343</v>
      </c>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row>
    <row r="31" spans="3:81" ht="4.95" customHeight="1" x14ac:dyDescent="0.3">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J31" s="12"/>
      <c r="AL31" s="116"/>
      <c r="AM31" s="116"/>
      <c r="AN31" s="116"/>
      <c r="AO31" s="116"/>
      <c r="AS31" s="38"/>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row>
    <row r="32" spans="3:81" ht="15" customHeight="1" x14ac:dyDescent="0.3">
      <c r="G32" s="2" t="s">
        <v>122</v>
      </c>
      <c r="H32" s="154"/>
      <c r="I32" s="154"/>
      <c r="J32" s="154"/>
      <c r="K32" s="4" t="s">
        <v>19</v>
      </c>
      <c r="P32" s="2" t="s">
        <v>120</v>
      </c>
      <c r="Q32" s="154"/>
      <c r="R32" s="154"/>
      <c r="S32" s="154"/>
      <c r="T32" s="4" t="s">
        <v>19</v>
      </c>
      <c r="X32" s="2" t="s">
        <v>188</v>
      </c>
      <c r="Y32" s="154"/>
      <c r="Z32" s="154"/>
      <c r="AA32" s="4" t="s">
        <v>19</v>
      </c>
      <c r="AL32" s="69">
        <f>IF(ISBLANK(H32),1,0)</f>
        <v>1</v>
      </c>
      <c r="AM32" s="69">
        <f>IF(ISBLANK(Q32),1,0)</f>
        <v>1</v>
      </c>
      <c r="AN32" s="69">
        <f>IF(ISBLANK(Y32),1,0)</f>
        <v>1</v>
      </c>
      <c r="AP32" s="62">
        <v>1</v>
      </c>
      <c r="AQ32" s="141">
        <v>1.5</v>
      </c>
      <c r="AS32" s="38"/>
      <c r="AT32" s="6" t="s">
        <v>39</v>
      </c>
      <c r="AU32" s="4" t="s">
        <v>344</v>
      </c>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row>
    <row r="33" spans="2:81" ht="15" customHeight="1" x14ac:dyDescent="0.3">
      <c r="AP33" s="62">
        <v>2</v>
      </c>
      <c r="AQ33" s="141">
        <v>1.5</v>
      </c>
      <c r="AS33" s="38"/>
      <c r="AT33" s="6" t="s">
        <v>40</v>
      </c>
      <c r="AU33" s="4" t="s">
        <v>345</v>
      </c>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row>
    <row r="34" spans="2:81" ht="15" customHeight="1" x14ac:dyDescent="0.3">
      <c r="C34" s="33" t="s">
        <v>152</v>
      </c>
      <c r="J34" s="112"/>
      <c r="K34" s="4" t="s">
        <v>153</v>
      </c>
      <c r="M34" s="112"/>
      <c r="N34" s="4" t="s">
        <v>154</v>
      </c>
      <c r="P34" s="112"/>
      <c r="Q34" s="4" t="s">
        <v>155</v>
      </c>
      <c r="S34" s="112"/>
      <c r="T34" s="4" t="s">
        <v>156</v>
      </c>
      <c r="AI34" s="7"/>
      <c r="AL34" s="69">
        <f>IF(AND(ISBLANK(J34),ISBLANK(M34),ISBLANK(P34),ISBLANK(S34)),1,2)</f>
        <v>1</v>
      </c>
      <c r="AM34" s="69">
        <f>IF(ISBLANK(J34),IF(ISBLANK(M34),IF(ISBLANK(P34),IF(ISBLANK(S34),0,4),3),2),1)</f>
        <v>0</v>
      </c>
      <c r="AP34" s="62">
        <v>3</v>
      </c>
      <c r="AQ34" s="141">
        <v>2.7</v>
      </c>
      <c r="AS34" s="38"/>
      <c r="AT34" s="6" t="s">
        <v>48</v>
      </c>
      <c r="AU34" s="4" t="s">
        <v>346</v>
      </c>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row>
    <row r="35" spans="2:81" ht="15" customHeight="1" x14ac:dyDescent="0.3">
      <c r="C35" s="2"/>
      <c r="AP35" s="62">
        <v>4</v>
      </c>
      <c r="AQ35" s="141">
        <v>3.5</v>
      </c>
      <c r="AS35" s="38"/>
      <c r="AT35" s="6" t="s">
        <v>49</v>
      </c>
      <c r="AU35" s="4" t="s">
        <v>349</v>
      </c>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row>
    <row r="36" spans="2:81" ht="14.55" customHeight="1" x14ac:dyDescent="0.3">
      <c r="B36" s="1" t="s">
        <v>270</v>
      </c>
      <c r="C36" s="1"/>
      <c r="D36" s="1"/>
      <c r="E36" s="1"/>
      <c r="F36" s="1"/>
      <c r="G36" s="1"/>
      <c r="H36" s="1"/>
      <c r="I36" s="1"/>
      <c r="J36" s="1"/>
      <c r="K36" s="14"/>
      <c r="L36" s="14"/>
      <c r="R36" s="14"/>
      <c r="S36" s="14"/>
      <c r="T36" s="14"/>
      <c r="U36" s="14"/>
      <c r="AA36" s="14"/>
      <c r="AB36" s="14"/>
      <c r="AC36" s="14"/>
      <c r="AD36" s="14"/>
      <c r="AE36" s="2" t="s">
        <v>72</v>
      </c>
      <c r="AF36" s="112"/>
      <c r="AG36" s="4" t="s">
        <v>58</v>
      </c>
      <c r="AI36" s="112"/>
      <c r="AJ36" s="4" t="s">
        <v>59</v>
      </c>
      <c r="AL36" s="69">
        <f>IF(AND(ISBLANK(AF36),ISBLANK(AI36)),1,2)</f>
        <v>1</v>
      </c>
      <c r="AM36" s="69">
        <f>IF(ISBLANK(AI36),1,2)</f>
        <v>1</v>
      </c>
      <c r="AP36" s="62">
        <v>5</v>
      </c>
      <c r="AQ36" s="141">
        <v>4.2</v>
      </c>
      <c r="AS36" s="38">
        <v>8</v>
      </c>
      <c r="AT36" s="4" t="s">
        <v>350</v>
      </c>
      <c r="BE36" s="29"/>
      <c r="BF36" s="29"/>
      <c r="BG36" s="29"/>
      <c r="BH36" s="29"/>
      <c r="BI36" s="29"/>
      <c r="BJ36" s="29"/>
      <c r="BK36" s="29"/>
      <c r="BL36" s="29"/>
      <c r="BM36" s="29"/>
      <c r="BN36" s="29"/>
      <c r="BO36" s="29"/>
      <c r="BP36" s="29"/>
      <c r="BQ36" s="29"/>
      <c r="BR36" s="29"/>
      <c r="BS36" s="29"/>
      <c r="BT36" s="29"/>
      <c r="BU36" s="29"/>
      <c r="BV36" s="29"/>
      <c r="BW36" s="29"/>
      <c r="BX36" s="29"/>
      <c r="BY36" s="29"/>
      <c r="BZ36" s="29"/>
      <c r="CA36" s="29"/>
      <c r="CB36" s="29"/>
      <c r="CC36" s="29"/>
    </row>
    <row r="37" spans="2:81" ht="4.95" customHeight="1" x14ac:dyDescent="0.3">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62"/>
      <c r="AS37" s="38"/>
      <c r="BE37" s="29"/>
      <c r="BF37" s="29"/>
      <c r="BG37" s="29"/>
      <c r="BH37" s="29"/>
      <c r="BI37" s="29"/>
      <c r="BJ37" s="29"/>
      <c r="BK37" s="29"/>
      <c r="BL37" s="29"/>
      <c r="BM37" s="29"/>
      <c r="BN37" s="29"/>
      <c r="BO37" s="29"/>
      <c r="BP37" s="29"/>
      <c r="BQ37" s="29"/>
      <c r="BR37" s="29"/>
      <c r="BS37" s="29"/>
      <c r="BT37" s="29"/>
      <c r="BU37" s="29"/>
      <c r="BV37" s="29"/>
      <c r="BW37" s="29"/>
      <c r="BX37" s="29"/>
      <c r="BY37" s="29"/>
      <c r="BZ37" s="29"/>
      <c r="CA37" s="29"/>
      <c r="CB37" s="29"/>
      <c r="CC37" s="29"/>
    </row>
    <row r="38" spans="2:81" ht="14.55" customHeight="1" x14ac:dyDescent="0.3">
      <c r="C38" s="2"/>
      <c r="E38" s="2" t="s">
        <v>118</v>
      </c>
      <c r="F38" s="151"/>
      <c r="G38" s="151"/>
      <c r="H38" s="151"/>
      <c r="I38" s="151"/>
      <c r="M38" s="2" t="s">
        <v>122</v>
      </c>
      <c r="N38" s="154"/>
      <c r="O38" s="154"/>
      <c r="P38" s="154"/>
      <c r="Q38" s="4" t="s">
        <v>19</v>
      </c>
      <c r="V38" s="2" t="s">
        <v>289</v>
      </c>
      <c r="W38" s="154"/>
      <c r="X38" s="154"/>
      <c r="Y38" s="154"/>
      <c r="Z38" s="4" t="s">
        <v>151</v>
      </c>
      <c r="AL38" s="62"/>
      <c r="AT38" s="6" t="s">
        <v>39</v>
      </c>
      <c r="AU38" s="4" t="s">
        <v>351</v>
      </c>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row>
    <row r="39" spans="2:81" ht="4.95" customHeight="1" x14ac:dyDescent="0.3">
      <c r="AL39" s="62"/>
      <c r="AS39" s="38"/>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row>
    <row r="40" spans="2:81" ht="14.55" customHeight="1" x14ac:dyDescent="0.3">
      <c r="C40" s="2"/>
      <c r="E40" s="2" t="s">
        <v>121</v>
      </c>
      <c r="F40" s="151"/>
      <c r="G40" s="151"/>
      <c r="H40" s="151"/>
      <c r="I40" s="151"/>
      <c r="M40" s="2" t="s">
        <v>188</v>
      </c>
      <c r="N40" s="154"/>
      <c r="O40" s="154"/>
      <c r="P40" s="154"/>
      <c r="Q40" s="4" t="s">
        <v>19</v>
      </c>
      <c r="V40" s="2" t="s">
        <v>276</v>
      </c>
      <c r="W40" s="154"/>
      <c r="X40" s="154"/>
      <c r="Y40" s="154"/>
      <c r="Z40" s="4" t="s">
        <v>19</v>
      </c>
      <c r="AD40" s="2" t="s">
        <v>277</v>
      </c>
      <c r="AE40" s="154"/>
      <c r="AF40" s="154"/>
      <c r="AG40" s="154"/>
      <c r="AH40" s="4" t="s">
        <v>302</v>
      </c>
      <c r="AS40" s="38"/>
      <c r="AT40" s="6" t="s">
        <v>40</v>
      </c>
      <c r="AU40" s="4" t="s">
        <v>349</v>
      </c>
      <c r="BE40" s="29"/>
      <c r="BF40" s="29"/>
      <c r="BG40" s="29"/>
      <c r="BH40" s="29"/>
      <c r="BI40" s="29"/>
      <c r="BJ40" s="29"/>
      <c r="BK40" s="29"/>
      <c r="BL40" s="29"/>
      <c r="BM40" s="29"/>
      <c r="BN40" s="29"/>
      <c r="BO40" s="29"/>
      <c r="BP40" s="29"/>
      <c r="BQ40" s="29"/>
      <c r="BR40" s="29"/>
      <c r="BS40" s="29"/>
      <c r="BT40" s="29"/>
      <c r="BU40" s="29"/>
      <c r="BV40" s="29"/>
      <c r="BW40" s="29"/>
      <c r="BX40" s="29"/>
      <c r="BY40" s="29"/>
      <c r="BZ40" s="29"/>
      <c r="CA40" s="29"/>
      <c r="CB40" s="29"/>
      <c r="CC40" s="29"/>
    </row>
    <row r="41" spans="2:81" ht="14.55" customHeight="1" x14ac:dyDescent="0.3">
      <c r="C41" s="2"/>
      <c r="AS41" s="38"/>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row>
    <row r="42" spans="2:81" ht="14.55" customHeight="1" x14ac:dyDescent="0.3">
      <c r="B42" s="1" t="s">
        <v>278</v>
      </c>
      <c r="AE42" s="2" t="s">
        <v>72</v>
      </c>
      <c r="AF42" s="112"/>
      <c r="AG42" s="4" t="s">
        <v>58</v>
      </c>
      <c r="AI42" s="112"/>
      <c r="AJ42" s="4" t="s">
        <v>59</v>
      </c>
      <c r="AL42" s="69">
        <f>IF(AND(ISBLANK(AF42),ISBLANK(AI42)),1,2)</f>
        <v>1</v>
      </c>
      <c r="AM42" s="69">
        <f>IF(ISBLANK(AI42),1,2)</f>
        <v>1</v>
      </c>
      <c r="AO42" s="118" t="s">
        <v>306</v>
      </c>
      <c r="AP42" s="117" t="str">
        <f>IF(M44&gt;0,"Yes","No")</f>
        <v>No</v>
      </c>
      <c r="AS42" s="4" t="s">
        <v>336</v>
      </c>
      <c r="AW42" s="38"/>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row>
    <row r="43" spans="2:81" ht="4.95" customHeight="1" x14ac:dyDescent="0.3">
      <c r="AI43" s="7"/>
      <c r="AO43" s="70"/>
      <c r="AP43" s="70"/>
    </row>
    <row r="44" spans="2:81" ht="14.55" customHeight="1" x14ac:dyDescent="0.3">
      <c r="E44" s="2" t="s">
        <v>122</v>
      </c>
      <c r="F44" s="154"/>
      <c r="G44" s="154"/>
      <c r="H44" s="154"/>
      <c r="I44" s="4" t="s">
        <v>19</v>
      </c>
      <c r="L44" s="2" t="s">
        <v>217</v>
      </c>
      <c r="M44" s="154"/>
      <c r="N44" s="154"/>
      <c r="O44" s="154"/>
      <c r="P44" s="4" t="s">
        <v>151</v>
      </c>
      <c r="U44" s="2" t="s">
        <v>307</v>
      </c>
      <c r="V44" s="154"/>
      <c r="W44" s="154"/>
      <c r="X44" s="154"/>
      <c r="Y44" s="4" t="s">
        <v>19</v>
      </c>
      <c r="AF44" s="2" t="s">
        <v>311</v>
      </c>
      <c r="AG44" s="154"/>
      <c r="AH44" s="154"/>
      <c r="AI44" s="154"/>
      <c r="AJ44" s="4" t="s">
        <v>19</v>
      </c>
      <c r="AO44" s="118" t="s">
        <v>308</v>
      </c>
      <c r="AP44" s="117" t="str">
        <f>IF(V44-AG44&lt;0.25,"Yes","No")</f>
        <v>Yes</v>
      </c>
      <c r="AS44" s="38"/>
    </row>
    <row r="45" spans="2:81" ht="4.95" customHeight="1" x14ac:dyDescent="0.3">
      <c r="AS45" s="38"/>
    </row>
    <row r="46" spans="2:81" ht="15" customHeight="1" x14ac:dyDescent="0.3">
      <c r="C46" s="4" t="s">
        <v>301</v>
      </c>
      <c r="L46" s="2" t="s">
        <v>188</v>
      </c>
      <c r="M46" s="154"/>
      <c r="N46" s="154"/>
      <c r="O46" s="154"/>
      <c r="P46" s="4" t="s">
        <v>18</v>
      </c>
      <c r="U46" s="2" t="s">
        <v>286</v>
      </c>
      <c r="V46" s="154"/>
      <c r="W46" s="154"/>
      <c r="X46" s="154"/>
      <c r="Y46" s="4" t="s">
        <v>287</v>
      </c>
      <c r="AO46" s="36" t="s">
        <v>130</v>
      </c>
      <c r="AP46" s="69">
        <v>4</v>
      </c>
      <c r="AQ46" s="34" t="s">
        <v>287</v>
      </c>
      <c r="AS46" s="38"/>
    </row>
    <row r="47" spans="2:81" ht="15" customHeight="1" x14ac:dyDescent="0.3">
      <c r="AO47" s="70"/>
      <c r="AS47" s="38"/>
    </row>
    <row r="48" spans="2:81" ht="15" customHeight="1" x14ac:dyDescent="0.3">
      <c r="B48" s="1" t="s">
        <v>283</v>
      </c>
      <c r="L48" s="2" t="s">
        <v>120</v>
      </c>
      <c r="M48" s="154"/>
      <c r="N48" s="154"/>
      <c r="O48" s="154"/>
      <c r="P48" s="4" t="s">
        <v>19</v>
      </c>
      <c r="U48" s="2" t="s">
        <v>284</v>
      </c>
      <c r="V48" s="154"/>
      <c r="W48" s="154"/>
      <c r="X48" s="154"/>
      <c r="Y48" s="4" t="s">
        <v>18</v>
      </c>
      <c r="AE48" s="2" t="s">
        <v>72</v>
      </c>
      <c r="AF48" s="112"/>
      <c r="AG48" s="4" t="s">
        <v>58</v>
      </c>
      <c r="AI48" s="112"/>
      <c r="AJ48" s="4" t="s">
        <v>59</v>
      </c>
      <c r="AL48" s="69">
        <f>IF(AND(ISBLANK(AF48),ISBLANK(AI48)),1,2)</f>
        <v>1</v>
      </c>
      <c r="AM48" s="69">
        <f>IF(ISBLANK(AI48),1,2)</f>
        <v>1</v>
      </c>
      <c r="AO48" s="36" t="s">
        <v>310</v>
      </c>
      <c r="AP48" s="69" t="str">
        <f>IF(M48&lt;3,"Yes","No")</f>
        <v>Yes</v>
      </c>
      <c r="AS48" s="38"/>
      <c r="AT48" s="6"/>
    </row>
    <row r="49" spans="2:48" ht="4.95" customHeight="1" x14ac:dyDescent="0.3">
      <c r="AS49" s="38"/>
      <c r="AT49" s="6"/>
    </row>
    <row r="50" spans="2:48" ht="15" customHeight="1" x14ac:dyDescent="0.3">
      <c r="L50" s="2" t="s">
        <v>285</v>
      </c>
      <c r="M50" s="154"/>
      <c r="N50" s="154"/>
      <c r="O50" s="154"/>
      <c r="P50" s="4" t="s">
        <v>151</v>
      </c>
      <c r="AE50" s="2" t="s">
        <v>326</v>
      </c>
      <c r="AF50" s="112"/>
      <c r="AG50" s="4" t="s">
        <v>58</v>
      </c>
      <c r="AI50" s="112"/>
      <c r="AJ50" s="4" t="s">
        <v>59</v>
      </c>
      <c r="AL50" s="69">
        <f>IF(AND(ISBLANK(AF50),ISBLANK(AI50)),1,2)</f>
        <v>1</v>
      </c>
      <c r="AM50" s="69">
        <f>IF(ISBLANK(AI50),1,2)</f>
        <v>1</v>
      </c>
      <c r="AO50" s="36" t="s">
        <v>309</v>
      </c>
      <c r="AP50" s="69" t="str">
        <f>IF(V48&lt;3,"Yes","No")</f>
        <v>Yes</v>
      </c>
      <c r="AS50" s="38"/>
      <c r="AT50" s="6"/>
    </row>
    <row r="51" spans="2:48" ht="15" customHeight="1" x14ac:dyDescent="0.3">
      <c r="AL51" s="62"/>
      <c r="AS51" s="38"/>
      <c r="AT51" s="6"/>
    </row>
    <row r="52" spans="2:48" ht="15" customHeight="1" x14ac:dyDescent="0.3">
      <c r="B52" s="1" t="s">
        <v>303</v>
      </c>
      <c r="L52" s="2" t="s">
        <v>120</v>
      </c>
      <c r="M52" s="154"/>
      <c r="N52" s="154"/>
      <c r="O52" s="154"/>
      <c r="P52" s="4" t="s">
        <v>19</v>
      </c>
      <c r="U52" s="2" t="s">
        <v>285</v>
      </c>
      <c r="V52" s="154"/>
      <c r="W52" s="154"/>
      <c r="X52" s="154"/>
      <c r="Y52" s="4" t="s">
        <v>151</v>
      </c>
      <c r="AN52" s="36"/>
      <c r="AO52" s="34" t="s">
        <v>312</v>
      </c>
      <c r="AP52" s="69">
        <v>2</v>
      </c>
      <c r="AQ52" s="34" t="s">
        <v>151</v>
      </c>
      <c r="AS52" s="38"/>
      <c r="AT52" s="6"/>
    </row>
    <row r="53" spans="2:48" ht="15" customHeight="1" x14ac:dyDescent="0.3">
      <c r="AO53" s="34" t="s">
        <v>305</v>
      </c>
      <c r="AP53" s="69">
        <v>6</v>
      </c>
      <c r="AQ53" s="34" t="s">
        <v>151</v>
      </c>
      <c r="AT53" s="6"/>
      <c r="AV53" s="29"/>
    </row>
    <row r="54" spans="2:48" ht="15" customHeight="1" x14ac:dyDescent="0.3">
      <c r="B54" s="1" t="s">
        <v>294</v>
      </c>
      <c r="C54" s="1"/>
      <c r="D54" s="1"/>
      <c r="E54" s="1"/>
      <c r="L54" s="9" t="s">
        <v>85</v>
      </c>
      <c r="M54" s="158"/>
      <c r="N54" s="158"/>
      <c r="O54" s="158"/>
      <c r="P54" s="158"/>
      <c r="U54" s="2" t="s">
        <v>86</v>
      </c>
      <c r="V54" s="159"/>
      <c r="W54" s="159"/>
      <c r="X54" s="159"/>
      <c r="Y54" s="159"/>
      <c r="AL54" s="69">
        <f>AL55+AL57</f>
        <v>0</v>
      </c>
      <c r="AM54" s="34" t="s">
        <v>76</v>
      </c>
      <c r="AO54" s="36" t="s">
        <v>318</v>
      </c>
      <c r="AP54" s="69">
        <f>IF(ISBLANK(M50),1,IF(M50&lt;AP52,2,IF(M50&gt;AP53,3,1)))</f>
        <v>1</v>
      </c>
      <c r="AS54" s="29"/>
      <c r="AT54" s="6"/>
      <c r="AV54" s="29"/>
    </row>
    <row r="55" spans="2:48" ht="15" customHeight="1" x14ac:dyDescent="0.3">
      <c r="B55" s="1"/>
      <c r="C55" s="1"/>
      <c r="D55" s="1"/>
      <c r="E55" s="1"/>
      <c r="AL55" s="69">
        <f>IF(ISBLANK(M54),0,1)</f>
        <v>0</v>
      </c>
      <c r="AM55" s="34" t="s">
        <v>74</v>
      </c>
      <c r="AO55" s="36" t="s">
        <v>317</v>
      </c>
      <c r="AP55" s="69">
        <f>IF(ISBLANK(V52),1,IF(V52&lt;AP52,2,IF(V52&gt;AP53,3,1)))</f>
        <v>1</v>
      </c>
      <c r="AS55" s="29"/>
      <c r="AT55" s="6"/>
      <c r="AV55" s="29"/>
    </row>
    <row r="56" spans="2:48" ht="15" customHeight="1" x14ac:dyDescent="0.3">
      <c r="B56" s="1"/>
      <c r="C56" s="1"/>
      <c r="D56" s="1"/>
      <c r="E56" s="1"/>
      <c r="AL56" s="69">
        <f>IF(ISBLANK(M54),1,IF(ISTEXT(M54)=TRUE,3,2))</f>
        <v>1</v>
      </c>
      <c r="AM56" s="34" t="s">
        <v>167</v>
      </c>
      <c r="AN56" s="62"/>
      <c r="AO56" s="36"/>
      <c r="AP56" s="62"/>
      <c r="AS56" s="29"/>
      <c r="AT56" s="6"/>
      <c r="AV56" s="29"/>
    </row>
    <row r="57" spans="2:48" ht="15" customHeight="1" x14ac:dyDescent="0.3">
      <c r="B57" s="1"/>
      <c r="C57" s="1"/>
      <c r="D57" s="1"/>
      <c r="E57" s="1"/>
      <c r="AL57" s="69">
        <f>IF(ISBLANK(V54),0,1)</f>
        <v>0</v>
      </c>
      <c r="AM57" s="34" t="s">
        <v>75</v>
      </c>
      <c r="AN57" s="62"/>
      <c r="AO57" s="36" t="s">
        <v>313</v>
      </c>
      <c r="AP57" s="69">
        <v>25</v>
      </c>
      <c r="AQ57" s="34" t="s">
        <v>19</v>
      </c>
      <c r="AS57" s="29"/>
      <c r="AT57" s="6"/>
      <c r="AV57" s="29"/>
    </row>
    <row r="58" spans="2:48" ht="15" customHeight="1" x14ac:dyDescent="0.3">
      <c r="J58" s="2"/>
      <c r="K58" s="73"/>
      <c r="N58" s="73"/>
      <c r="V58" s="2"/>
      <c r="W58" s="73"/>
      <c r="Z58" s="73"/>
      <c r="AL58" s="69">
        <f>IF(ISBLANK(V54),1,IF(ISTEXT(V54)=TRUE,3,2))</f>
        <v>1</v>
      </c>
      <c r="AM58" s="34" t="s">
        <v>168</v>
      </c>
      <c r="AN58" s="62"/>
      <c r="AO58" s="36" t="s">
        <v>322</v>
      </c>
      <c r="AP58" s="69" t="str">
        <f>IF(M52&lt;AP57,"Yes","No")</f>
        <v>Yes</v>
      </c>
      <c r="AS58" s="29"/>
      <c r="AT58" s="6"/>
      <c r="AV58" s="29"/>
    </row>
    <row r="59" spans="2:48" ht="15" customHeight="1" x14ac:dyDescent="0.3">
      <c r="B59" s="177">
        <f>Tables!$F$13</f>
        <v>46266</v>
      </c>
      <c r="C59" s="177"/>
      <c r="D59" s="177"/>
      <c r="E59" s="177"/>
      <c r="F59" s="177"/>
      <c r="G59" s="177"/>
      <c r="H59" s="177"/>
      <c r="I59" s="59"/>
      <c r="R59" s="6" t="s">
        <v>296</v>
      </c>
      <c r="AL59" s="36"/>
      <c r="AM59" s="36"/>
      <c r="AN59" s="62"/>
      <c r="AO59" s="36"/>
      <c r="AP59" s="62"/>
      <c r="AS59" s="29"/>
      <c r="AT59" s="6"/>
      <c r="AV59" s="29"/>
    </row>
    <row r="60" spans="2:48" ht="15" customHeight="1" x14ac:dyDescent="0.3">
      <c r="C60" s="2" t="s">
        <v>64</v>
      </c>
      <c r="D60" s="175">
        <f>IF(ISBLANK($E$7),0,$E$7)</f>
        <v>0</v>
      </c>
      <c r="E60" s="175"/>
      <c r="F60" s="175"/>
      <c r="G60" s="175"/>
      <c r="H60" s="175"/>
      <c r="I60" s="175"/>
      <c r="J60" s="175"/>
      <c r="K60" s="175"/>
      <c r="L60" s="175"/>
      <c r="M60" s="175"/>
      <c r="N60" s="175"/>
      <c r="O60" s="175"/>
      <c r="P60" s="175"/>
      <c r="Q60" s="175"/>
      <c r="R60" s="175"/>
      <c r="S60" s="175"/>
      <c r="T60" s="175"/>
      <c r="U60" s="175"/>
      <c r="V60" s="175"/>
      <c r="W60" s="175"/>
      <c r="X60" s="175"/>
      <c r="Y60" s="175"/>
      <c r="AD60" s="2" t="s">
        <v>83</v>
      </c>
      <c r="AE60" s="155">
        <f>IF(ISBLANK($AE$7),0,$AE$7)</f>
        <v>0</v>
      </c>
      <c r="AF60" s="155"/>
      <c r="AG60" s="155"/>
      <c r="AH60" s="155"/>
      <c r="AI60" s="155"/>
      <c r="AJ60" s="155"/>
      <c r="AL60" s="36"/>
      <c r="AM60" s="36"/>
      <c r="AN60" s="62"/>
      <c r="AO60" s="36"/>
      <c r="AP60" s="62"/>
      <c r="AS60" s="29"/>
      <c r="AT60" s="6"/>
      <c r="AV60" s="29"/>
    </row>
    <row r="61" spans="2:48" ht="15" customHeight="1" x14ac:dyDescent="0.3">
      <c r="C61" s="1"/>
      <c r="D61" s="1"/>
      <c r="E61" s="1"/>
      <c r="F61" s="1"/>
      <c r="G61" s="1"/>
      <c r="H61" s="1"/>
      <c r="I61" s="1"/>
      <c r="J61" s="1"/>
      <c r="K61" s="2"/>
      <c r="L61" s="2"/>
      <c r="M61" s="2"/>
      <c r="N61" s="2"/>
      <c r="O61" s="3"/>
      <c r="P61" s="7"/>
      <c r="Q61" s="7"/>
      <c r="R61" s="7"/>
      <c r="S61" s="7"/>
      <c r="T61" s="7"/>
      <c r="U61" s="7"/>
      <c r="V61" s="7"/>
      <c r="W61" s="7"/>
      <c r="X61" s="7"/>
      <c r="Y61" s="7"/>
      <c r="Z61" s="7"/>
      <c r="AA61" s="7"/>
      <c r="AB61" s="7"/>
      <c r="AC61" s="7"/>
      <c r="AD61" s="2" t="s">
        <v>84</v>
      </c>
      <c r="AE61" s="161">
        <f>IF(ISBLANK($AE$8),0,$AE$8)</f>
        <v>0</v>
      </c>
      <c r="AF61" s="161"/>
      <c r="AG61" s="161"/>
      <c r="AH61" s="161"/>
      <c r="AI61" s="161"/>
      <c r="AJ61" s="161"/>
      <c r="AL61" s="36"/>
      <c r="AM61" s="36"/>
      <c r="AN61" s="62"/>
      <c r="AO61" s="36"/>
      <c r="AP61" s="62"/>
      <c r="AS61" s="29"/>
      <c r="AT61" s="6"/>
      <c r="AV61" s="29"/>
    </row>
    <row r="62" spans="2:48" ht="15" customHeight="1" x14ac:dyDescent="0.3">
      <c r="B62" s="8" t="s">
        <v>10</v>
      </c>
      <c r="C62" s="8"/>
      <c r="D62" s="8"/>
      <c r="E62" s="8"/>
      <c r="AS62" s="29"/>
      <c r="AT62" s="6"/>
      <c r="AV62" s="29"/>
    </row>
    <row r="63" spans="2:48" ht="15" customHeight="1" x14ac:dyDescent="0.3">
      <c r="B63" s="166"/>
      <c r="C63" s="167"/>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c r="AI63" s="167"/>
      <c r="AJ63" s="168"/>
      <c r="AS63" s="29"/>
      <c r="AT63" s="6"/>
      <c r="AV63" s="29"/>
    </row>
    <row r="64" spans="2:48" ht="15" customHeight="1" x14ac:dyDescent="0.3">
      <c r="B64" s="169"/>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1"/>
      <c r="AS64" s="29"/>
      <c r="AT64" s="6"/>
      <c r="AV64" s="29"/>
    </row>
    <row r="65" spans="2:48" ht="15" customHeight="1" x14ac:dyDescent="0.3">
      <c r="B65" s="169"/>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1"/>
      <c r="AS65" s="29"/>
      <c r="AT65" s="6"/>
      <c r="AV65" s="29"/>
    </row>
    <row r="66" spans="2:48" ht="15" customHeight="1" x14ac:dyDescent="0.3">
      <c r="B66" s="169"/>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1"/>
      <c r="AS66" s="29"/>
      <c r="AT66" s="6"/>
      <c r="AV66" s="29"/>
    </row>
    <row r="67" spans="2:48" ht="15" customHeight="1" x14ac:dyDescent="0.3">
      <c r="B67" s="172"/>
      <c r="C67" s="173"/>
      <c r="D67" s="173"/>
      <c r="E67" s="173"/>
      <c r="F67" s="173"/>
      <c r="G67" s="173"/>
      <c r="H67" s="173"/>
      <c r="I67" s="173"/>
      <c r="J67" s="173"/>
      <c r="K67" s="173"/>
      <c r="L67" s="173"/>
      <c r="M67" s="173"/>
      <c r="N67" s="173"/>
      <c r="O67" s="173"/>
      <c r="P67" s="173"/>
      <c r="Q67" s="173"/>
      <c r="R67" s="173"/>
      <c r="S67" s="173"/>
      <c r="T67" s="173"/>
      <c r="U67" s="173"/>
      <c r="V67" s="173"/>
      <c r="W67" s="173"/>
      <c r="X67" s="173"/>
      <c r="Y67" s="173"/>
      <c r="Z67" s="173"/>
      <c r="AA67" s="173"/>
      <c r="AB67" s="173"/>
      <c r="AC67" s="173"/>
      <c r="AD67" s="173"/>
      <c r="AE67" s="173"/>
      <c r="AF67" s="173"/>
      <c r="AG67" s="173"/>
      <c r="AH67" s="173"/>
      <c r="AI67" s="173"/>
      <c r="AJ67" s="174"/>
      <c r="AS67" s="29"/>
      <c r="AT67" s="6"/>
      <c r="AV67" s="29"/>
    </row>
    <row r="68" spans="2:48" ht="15" customHeight="1" x14ac:dyDescent="0.3">
      <c r="AS68" s="29"/>
      <c r="AT68" s="6"/>
      <c r="AV68" s="29"/>
    </row>
    <row r="69" spans="2:48" ht="15" customHeight="1" x14ac:dyDescent="0.3">
      <c r="B69" s="1" t="s">
        <v>8</v>
      </c>
      <c r="C69" s="1"/>
      <c r="D69" s="1"/>
      <c r="E69" s="1"/>
      <c r="F69" s="1"/>
      <c r="G69" s="1"/>
      <c r="H69" s="1"/>
      <c r="I69" s="1"/>
      <c r="J69" s="1"/>
    </row>
    <row r="70" spans="2:48" ht="15" customHeight="1" x14ac:dyDescent="0.3">
      <c r="B70" s="1"/>
      <c r="C70" s="1"/>
      <c r="D70" s="1"/>
      <c r="E70" s="1"/>
      <c r="F70" s="1"/>
      <c r="G70" s="1"/>
      <c r="H70" s="1"/>
      <c r="I70" s="1"/>
      <c r="J70" s="1"/>
    </row>
    <row r="71" spans="2:48" ht="15" customHeight="1" x14ac:dyDescent="0.3">
      <c r="B71" s="56" t="s">
        <v>298</v>
      </c>
      <c r="C71" s="56"/>
      <c r="D71" s="56"/>
      <c r="E71" s="56"/>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row>
    <row r="72" spans="2:48" ht="15" customHeight="1" x14ac:dyDescent="0.3">
      <c r="B72" s="4" t="s">
        <v>299</v>
      </c>
      <c r="C72" s="43"/>
      <c r="D72" s="56"/>
      <c r="E72" s="57"/>
      <c r="G72" s="56"/>
      <c r="H72" s="56"/>
      <c r="I72" s="56"/>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row>
    <row r="73" spans="2:48" ht="15" customHeight="1" x14ac:dyDescent="0.3">
      <c r="C73" s="43"/>
      <c r="D73" s="56"/>
      <c r="E73" s="57"/>
      <c r="G73" s="56"/>
      <c r="H73" s="56"/>
      <c r="I73" s="56"/>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row>
    <row r="74" spans="2:48" ht="15" customHeight="1" x14ac:dyDescent="0.3">
      <c r="E74" s="2" t="s">
        <v>88</v>
      </c>
      <c r="F74" s="151"/>
      <c r="G74" s="151"/>
      <c r="H74" s="151"/>
      <c r="I74" s="151"/>
      <c r="J74" s="151"/>
      <c r="K74" s="151"/>
      <c r="L74" s="151"/>
      <c r="M74" s="151"/>
      <c r="N74" s="151"/>
      <c r="O74" s="151"/>
      <c r="P74" s="151"/>
      <c r="Q74" s="151"/>
      <c r="R74" s="151"/>
      <c r="S74" s="151"/>
      <c r="T74" s="151"/>
      <c r="U74" s="151"/>
      <c r="V74" s="151"/>
      <c r="W74" s="151"/>
      <c r="X74" s="151"/>
      <c r="Y74" s="151"/>
      <c r="Z74" s="151"/>
      <c r="AC74" s="2" t="s">
        <v>126</v>
      </c>
      <c r="AD74" s="2"/>
      <c r="AE74" s="2"/>
      <c r="AF74" s="2"/>
    </row>
    <row r="75" spans="2:48" ht="15" customHeight="1" x14ac:dyDescent="0.3">
      <c r="E75" s="2" t="s">
        <v>64</v>
      </c>
      <c r="F75" s="152"/>
      <c r="G75" s="152"/>
      <c r="H75" s="152"/>
      <c r="I75" s="152"/>
      <c r="J75" s="152"/>
      <c r="K75" s="152"/>
      <c r="L75" s="152"/>
      <c r="M75" s="152"/>
      <c r="N75" s="152"/>
      <c r="O75" s="152"/>
      <c r="P75" s="152"/>
      <c r="Q75" s="152"/>
      <c r="R75" s="152"/>
      <c r="S75" s="152"/>
      <c r="T75" s="152"/>
      <c r="U75" s="152"/>
      <c r="V75" s="152"/>
      <c r="W75" s="152"/>
      <c r="X75" s="152"/>
      <c r="Y75" s="152"/>
      <c r="Z75" s="152"/>
    </row>
    <row r="76" spans="2:48" ht="15" customHeight="1" x14ac:dyDescent="0.3">
      <c r="E76" s="2" t="s">
        <v>65</v>
      </c>
      <c r="F76" s="152"/>
      <c r="G76" s="152"/>
      <c r="H76" s="152"/>
      <c r="I76" s="152"/>
      <c r="J76" s="152"/>
      <c r="K76" s="152"/>
      <c r="L76" s="152"/>
      <c r="M76" s="152"/>
      <c r="N76" s="152"/>
      <c r="O76" s="152"/>
      <c r="P76" s="152"/>
      <c r="Q76" s="152"/>
      <c r="R76" s="152"/>
      <c r="S76" s="152"/>
      <c r="T76" s="152"/>
      <c r="U76" s="152"/>
      <c r="V76" s="152"/>
      <c r="W76" s="152"/>
      <c r="X76" s="152"/>
      <c r="Y76" s="152"/>
      <c r="Z76" s="152"/>
    </row>
    <row r="77" spans="2:48" ht="15" customHeight="1" x14ac:dyDescent="0.3">
      <c r="E77" s="2" t="s">
        <v>116</v>
      </c>
      <c r="F77" s="152"/>
      <c r="G77" s="152"/>
      <c r="H77" s="152"/>
      <c r="I77" s="152"/>
      <c r="J77" s="152"/>
      <c r="K77" s="152"/>
      <c r="L77" s="152"/>
      <c r="M77" s="44"/>
      <c r="N77" s="44"/>
      <c r="O77" s="72" t="s">
        <v>68</v>
      </c>
      <c r="P77" s="152"/>
      <c r="Q77" s="152"/>
      <c r="R77" s="152"/>
      <c r="S77" s="152"/>
      <c r="T77" s="44"/>
      <c r="U77" s="44"/>
      <c r="V77" s="44"/>
      <c r="W77" s="72" t="s">
        <v>69</v>
      </c>
      <c r="X77" s="150"/>
      <c r="Y77" s="150"/>
      <c r="Z77" s="150"/>
    </row>
    <row r="78" spans="2:48" ht="15" customHeight="1" x14ac:dyDescent="0.3">
      <c r="E78" s="2" t="s">
        <v>66</v>
      </c>
      <c r="F78" s="153"/>
      <c r="G78" s="153"/>
      <c r="H78" s="153"/>
      <c r="I78" s="153"/>
      <c r="J78" s="153"/>
      <c r="K78" s="153"/>
      <c r="L78" s="153"/>
      <c r="M78" s="153"/>
      <c r="N78" s="153"/>
      <c r="O78" s="153"/>
      <c r="P78" s="153"/>
      <c r="Q78" s="153"/>
      <c r="R78" s="153"/>
      <c r="S78" s="153"/>
      <c r="T78" s="153"/>
      <c r="U78" s="153"/>
      <c r="V78" s="153"/>
      <c r="W78" s="153"/>
      <c r="X78" s="153"/>
      <c r="Y78" s="153"/>
      <c r="Z78" s="153"/>
    </row>
    <row r="79" spans="2:48" ht="15" customHeight="1" x14ac:dyDescent="0.3">
      <c r="E79" s="2" t="s">
        <v>70</v>
      </c>
      <c r="F79" s="149"/>
      <c r="G79" s="149"/>
      <c r="H79" s="149"/>
      <c r="I79" s="149"/>
      <c r="J79" s="149"/>
      <c r="V79" s="41"/>
      <c r="W79" s="41"/>
      <c r="X79" s="41"/>
    </row>
    <row r="80" spans="2:48" ht="15" customHeight="1" x14ac:dyDescent="0.3">
      <c r="E80" s="2"/>
      <c r="F80" s="44"/>
      <c r="G80" s="44"/>
      <c r="H80" s="44"/>
      <c r="I80" s="44"/>
      <c r="J80" s="44"/>
      <c r="V80" s="41"/>
      <c r="W80" s="41"/>
      <c r="X80" s="41"/>
    </row>
    <row r="81" spans="2:38" ht="15" customHeight="1" x14ac:dyDescent="0.3">
      <c r="E81" s="2" t="s">
        <v>89</v>
      </c>
      <c r="F81" s="55"/>
      <c r="G81" s="55"/>
      <c r="H81" s="55"/>
      <c r="I81" s="55"/>
      <c r="J81" s="55"/>
      <c r="K81" s="55"/>
      <c r="L81" s="55"/>
      <c r="M81" s="55"/>
      <c r="N81" s="55"/>
      <c r="O81" s="55"/>
      <c r="P81" s="55"/>
      <c r="Q81" s="55"/>
      <c r="R81" s="55"/>
      <c r="S81" s="55"/>
      <c r="T81" s="55"/>
      <c r="U81" s="55"/>
      <c r="V81" s="41"/>
      <c r="W81" s="41"/>
      <c r="X81" s="41"/>
      <c r="AC81" s="2" t="s">
        <v>83</v>
      </c>
      <c r="AD81" s="157"/>
      <c r="AE81" s="157"/>
      <c r="AF81" s="157"/>
      <c r="AG81" s="157"/>
      <c r="AH81" s="157"/>
    </row>
    <row r="82" spans="2:38" ht="15" customHeight="1" x14ac:dyDescent="0.3"/>
    <row r="83" spans="2:38" ht="15" customHeight="1" x14ac:dyDescent="0.3">
      <c r="B83" s="1"/>
      <c r="AL83" s="34" t="s">
        <v>127</v>
      </c>
    </row>
    <row r="84" spans="2:38" ht="15" customHeight="1" x14ac:dyDescent="0.3">
      <c r="B84" s="16" t="s">
        <v>34</v>
      </c>
      <c r="C84" s="60"/>
      <c r="D84" s="60"/>
      <c r="E84" s="60"/>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8"/>
      <c r="AL84" s="69">
        <f>SUM(AL87:AL98)</f>
        <v>11</v>
      </c>
    </row>
    <row r="85" spans="2:38" ht="15" customHeight="1" x14ac:dyDescent="0.3">
      <c r="B85" s="123"/>
      <c r="C85" s="121"/>
      <c r="D85" s="121"/>
      <c r="E85" s="121"/>
      <c r="F85" s="20"/>
      <c r="G85" s="20"/>
      <c r="H85" s="20"/>
      <c r="I85" s="20"/>
      <c r="J85" s="20"/>
      <c r="K85" s="27" t="s">
        <v>35</v>
      </c>
      <c r="L85" s="27"/>
      <c r="M85" s="28" t="s">
        <v>36</v>
      </c>
      <c r="N85" s="20"/>
      <c r="O85" s="20"/>
      <c r="P85" s="20"/>
      <c r="Q85" s="20"/>
      <c r="R85" s="20"/>
      <c r="S85" s="20"/>
      <c r="T85" s="20"/>
      <c r="U85" s="20"/>
      <c r="V85" s="20"/>
      <c r="W85" s="20"/>
      <c r="X85" s="20"/>
      <c r="Y85" s="20"/>
      <c r="Z85" s="20"/>
      <c r="AA85" s="20"/>
      <c r="AB85" s="20"/>
      <c r="AC85" s="20"/>
      <c r="AD85" s="20"/>
      <c r="AE85" s="20"/>
      <c r="AF85" s="20"/>
      <c r="AG85" s="20"/>
      <c r="AH85" s="20"/>
      <c r="AI85" s="20"/>
      <c r="AJ85" s="21"/>
      <c r="AL85" s="69"/>
    </row>
    <row r="86" spans="2:38" ht="15" customHeight="1" x14ac:dyDescent="0.3">
      <c r="B86" s="19"/>
      <c r="C86" s="20"/>
      <c r="D86" s="20"/>
      <c r="E86" s="20"/>
      <c r="F86" s="20"/>
      <c r="G86" s="20"/>
      <c r="H86" s="20"/>
      <c r="I86" s="20"/>
      <c r="J86" s="20"/>
      <c r="K86" s="22" t="s">
        <v>171</v>
      </c>
      <c r="L86" s="27"/>
      <c r="M86" s="20" t="str">
        <f>IF(ISBLANK(AC6),Tables!$J$2,"")</f>
        <v>Parcel No. has not been provided</v>
      </c>
      <c r="N86" s="28"/>
      <c r="O86" s="28"/>
      <c r="P86" s="28"/>
      <c r="Q86" s="28"/>
      <c r="R86" s="28"/>
      <c r="S86" s="28"/>
      <c r="T86" s="20"/>
      <c r="U86" s="20"/>
      <c r="V86" s="20"/>
      <c r="W86" s="20"/>
      <c r="X86" s="20"/>
      <c r="Y86" s="20"/>
      <c r="Z86" s="20"/>
      <c r="AA86" s="20"/>
      <c r="AB86" s="20"/>
      <c r="AC86" s="20"/>
      <c r="AD86" s="20"/>
      <c r="AE86" s="20"/>
      <c r="AF86" s="20"/>
      <c r="AG86" s="20"/>
      <c r="AH86" s="20"/>
      <c r="AI86" s="20"/>
      <c r="AJ86" s="21"/>
      <c r="AL86" s="69">
        <f>IF(M86="",0,1)</f>
        <v>1</v>
      </c>
    </row>
    <row r="87" spans="2:38" ht="15" customHeight="1" x14ac:dyDescent="0.3">
      <c r="B87" s="119"/>
      <c r="C87" s="60" t="s">
        <v>278</v>
      </c>
      <c r="D87" s="17"/>
      <c r="E87" s="17"/>
      <c r="F87" s="17"/>
      <c r="G87" s="17"/>
      <c r="H87" s="17"/>
      <c r="I87" s="17"/>
      <c r="J87" s="17"/>
      <c r="K87" s="120" t="s">
        <v>217</v>
      </c>
      <c r="L87" s="120"/>
      <c r="M87" s="17" t="str">
        <f>IF(ISBLANK(M44),Tables!$J$5,IF(OR(M44&lt;0,M44&gt;0),Tables!$J$5,""))</f>
        <v>Level spreader slope is not 0%</v>
      </c>
      <c r="N87" s="17"/>
      <c r="O87" s="17"/>
      <c r="P87" s="17"/>
      <c r="Q87" s="17"/>
      <c r="R87" s="17"/>
      <c r="S87" s="17"/>
      <c r="T87" s="17"/>
      <c r="U87" s="17"/>
      <c r="V87" s="17"/>
      <c r="W87" s="17"/>
      <c r="X87" s="17"/>
      <c r="Y87" s="17"/>
      <c r="Z87" s="17"/>
      <c r="AA87" s="17"/>
      <c r="AB87" s="17"/>
      <c r="AC87" s="17"/>
      <c r="AD87" s="17"/>
      <c r="AE87" s="17"/>
      <c r="AF87" s="17"/>
      <c r="AG87" s="17"/>
      <c r="AH87" s="17"/>
      <c r="AI87" s="17"/>
      <c r="AJ87" s="18"/>
      <c r="AL87" s="69">
        <f t="shared" ref="AL87:AL97" si="0">IF(M87="",0,1)</f>
        <v>1</v>
      </c>
    </row>
    <row r="88" spans="2:38" ht="15" customHeight="1" x14ac:dyDescent="0.3">
      <c r="B88" s="19"/>
      <c r="C88" s="20"/>
      <c r="D88" s="20"/>
      <c r="E88" s="20"/>
      <c r="F88" s="20"/>
      <c r="G88" s="20"/>
      <c r="H88" s="20"/>
      <c r="I88" s="20"/>
      <c r="J88" s="20"/>
      <c r="K88" s="22" t="s">
        <v>315</v>
      </c>
      <c r="L88" s="22"/>
      <c r="M88" s="20" t="str">
        <f>IF(ISBLANK(V44),Tables!$J$6,IF(AP44="Yes",Tables!$J$6,""))</f>
        <v>The difference between the Lip EL and Toe Grade EL &lt; 3-in</v>
      </c>
      <c r="N88" s="20"/>
      <c r="O88" s="20"/>
      <c r="P88" s="20"/>
      <c r="Q88" s="20"/>
      <c r="R88" s="20"/>
      <c r="S88" s="20"/>
      <c r="T88" s="20"/>
      <c r="U88" s="20"/>
      <c r="V88" s="20"/>
      <c r="W88" s="20"/>
      <c r="X88" s="20"/>
      <c r="Y88" s="20"/>
      <c r="Z88" s="20"/>
      <c r="AA88" s="20"/>
      <c r="AB88" s="20"/>
      <c r="AC88" s="20"/>
      <c r="AD88" s="20"/>
      <c r="AE88" s="20"/>
      <c r="AF88" s="20"/>
      <c r="AG88" s="20"/>
      <c r="AH88" s="20"/>
      <c r="AI88" s="20"/>
      <c r="AJ88" s="21"/>
      <c r="AL88" s="69">
        <f t="shared" si="0"/>
        <v>1</v>
      </c>
    </row>
    <row r="89" spans="2:38" ht="15" customHeight="1" x14ac:dyDescent="0.3">
      <c r="B89" s="23"/>
      <c r="C89" s="24"/>
      <c r="D89" s="24"/>
      <c r="E89" s="24"/>
      <c r="F89" s="24"/>
      <c r="G89" s="24"/>
      <c r="H89" s="24"/>
      <c r="I89" s="24"/>
      <c r="J89" s="24"/>
      <c r="K89" s="25" t="s">
        <v>99</v>
      </c>
      <c r="L89" s="25"/>
      <c r="M89" s="24" t="str">
        <f>IF(ISBLANK(V46),Tables!$J$7,IF(V46&gt;AP46,Tables!$J$7,""))</f>
        <v>Velocity &gt; 4 ft/s</v>
      </c>
      <c r="N89" s="24"/>
      <c r="O89" s="24"/>
      <c r="P89" s="24"/>
      <c r="Q89" s="24"/>
      <c r="R89" s="24"/>
      <c r="S89" s="24"/>
      <c r="T89" s="24"/>
      <c r="U89" s="24"/>
      <c r="V89" s="24"/>
      <c r="W89" s="24"/>
      <c r="X89" s="24"/>
      <c r="Y89" s="24"/>
      <c r="Z89" s="24"/>
      <c r="AA89" s="24"/>
      <c r="AB89" s="24"/>
      <c r="AC89" s="24"/>
      <c r="AD89" s="24"/>
      <c r="AE89" s="24"/>
      <c r="AF89" s="24"/>
      <c r="AG89" s="24"/>
      <c r="AH89" s="24"/>
      <c r="AI89" s="24"/>
      <c r="AJ89" s="26"/>
      <c r="AL89" s="69">
        <f t="shared" si="0"/>
        <v>1</v>
      </c>
    </row>
    <row r="90" spans="2:38" ht="15" customHeight="1" x14ac:dyDescent="0.3">
      <c r="B90" s="119"/>
      <c r="C90" s="60" t="s">
        <v>283</v>
      </c>
      <c r="D90" s="17"/>
      <c r="E90" s="17"/>
      <c r="F90" s="17"/>
      <c r="G90" s="17"/>
      <c r="H90" s="17"/>
      <c r="I90" s="17"/>
      <c r="J90" s="17"/>
      <c r="K90" s="120" t="s">
        <v>17</v>
      </c>
      <c r="L90" s="120"/>
      <c r="M90" s="17" t="str">
        <f>IF(ISBLANK(M48),Tables!$J$8,IF(AP48="Yes",Tables!$J$8,""))</f>
        <v>Strip width &lt; 3-ft</v>
      </c>
      <c r="N90" s="17"/>
      <c r="O90" s="17"/>
      <c r="P90" s="17"/>
      <c r="Q90" s="17"/>
      <c r="R90" s="17"/>
      <c r="S90" s="17"/>
      <c r="T90" s="17"/>
      <c r="U90" s="17"/>
      <c r="V90" s="17"/>
      <c r="W90" s="17"/>
      <c r="X90" s="17"/>
      <c r="Y90" s="17"/>
      <c r="Z90" s="17"/>
      <c r="AA90" s="17"/>
      <c r="AB90" s="17"/>
      <c r="AC90" s="17"/>
      <c r="AD90" s="17"/>
      <c r="AE90" s="17"/>
      <c r="AF90" s="17"/>
      <c r="AG90" s="17"/>
      <c r="AH90" s="17"/>
      <c r="AI90" s="17"/>
      <c r="AJ90" s="18"/>
      <c r="AL90" s="69">
        <f t="shared" si="0"/>
        <v>1</v>
      </c>
    </row>
    <row r="91" spans="2:38" ht="15" customHeight="1" x14ac:dyDescent="0.3">
      <c r="B91" s="19"/>
      <c r="C91" s="20"/>
      <c r="D91" s="20"/>
      <c r="E91" s="20"/>
      <c r="F91" s="20"/>
      <c r="G91" s="20"/>
      <c r="H91" s="20"/>
      <c r="I91" s="20"/>
      <c r="J91" s="20"/>
      <c r="K91" s="22" t="s">
        <v>316</v>
      </c>
      <c r="L91" s="22"/>
      <c r="M91" s="20" t="str">
        <f>IF(ISBLANK(V48),Tables!$J$9,IF(AP50="Yes",Tables!$J$9,""))</f>
        <v>Stone depth &lt; 3-in</v>
      </c>
      <c r="N91" s="20"/>
      <c r="O91" s="20"/>
      <c r="P91" s="20"/>
      <c r="Q91" s="20"/>
      <c r="R91" s="20"/>
      <c r="S91" s="20"/>
      <c r="T91" s="20"/>
      <c r="U91" s="20"/>
      <c r="V91" s="20"/>
      <c r="W91" s="20"/>
      <c r="X91" s="20"/>
      <c r="Y91" s="20"/>
      <c r="Z91" s="20"/>
      <c r="AA91" s="20"/>
      <c r="AB91" s="20"/>
      <c r="AC91" s="20"/>
      <c r="AD91" s="20"/>
      <c r="AE91" s="20"/>
      <c r="AF91" s="20"/>
      <c r="AG91" s="20"/>
      <c r="AH91" s="20"/>
      <c r="AI91" s="20"/>
      <c r="AJ91" s="21"/>
      <c r="AL91" s="69">
        <f t="shared" si="0"/>
        <v>1</v>
      </c>
    </row>
    <row r="92" spans="2:38" ht="15" customHeight="1" x14ac:dyDescent="0.3">
      <c r="B92" s="19"/>
      <c r="C92" s="20"/>
      <c r="D92" s="20"/>
      <c r="E92" s="20"/>
      <c r="F92" s="20"/>
      <c r="G92" s="20"/>
      <c r="H92" s="20"/>
      <c r="I92" s="20"/>
      <c r="J92" s="20"/>
      <c r="K92" s="22" t="s">
        <v>217</v>
      </c>
      <c r="L92" s="22"/>
      <c r="M92" s="20" t="str">
        <f>IF(ISBLANK(M50),Tables!$J$10,IF(AP54=2,Tables!$J$11,IF(AP54=3,Tables!$J$12,"")))</f>
        <v>Strip slope &lt; 2% or &gt; 6%</v>
      </c>
      <c r="N92" s="20"/>
      <c r="O92" s="20"/>
      <c r="P92" s="20"/>
      <c r="Q92" s="20"/>
      <c r="R92" s="20"/>
      <c r="S92" s="20"/>
      <c r="T92" s="20"/>
      <c r="U92" s="20"/>
      <c r="V92" s="20"/>
      <c r="W92" s="20"/>
      <c r="X92" s="20"/>
      <c r="Y92" s="20"/>
      <c r="Z92" s="20"/>
      <c r="AA92" s="20"/>
      <c r="AB92" s="20"/>
      <c r="AC92" s="20"/>
      <c r="AD92" s="20"/>
      <c r="AE92" s="20"/>
      <c r="AF92" s="20"/>
      <c r="AG92" s="20"/>
      <c r="AH92" s="20"/>
      <c r="AI92" s="20"/>
      <c r="AJ92" s="21"/>
      <c r="AL92" s="69">
        <f t="shared" si="0"/>
        <v>1</v>
      </c>
    </row>
    <row r="93" spans="2:38" ht="15" customHeight="1" x14ac:dyDescent="0.3">
      <c r="B93" s="23"/>
      <c r="C93" s="24"/>
      <c r="D93" s="24"/>
      <c r="E93" s="24"/>
      <c r="F93" s="24"/>
      <c r="G93" s="24"/>
      <c r="H93" s="24"/>
      <c r="I93" s="24"/>
      <c r="J93" s="24"/>
      <c r="K93" s="25" t="s">
        <v>324</v>
      </c>
      <c r="L93" s="25"/>
      <c r="M93" s="24" t="str">
        <f>IF(AL50=1,Tables!$J$14,IF(AM50=2,Tables!$J$14,""))</f>
        <v>Geotextile filter fabric not provided</v>
      </c>
      <c r="N93" s="24"/>
      <c r="O93" s="24"/>
      <c r="P93" s="24"/>
      <c r="Q93" s="24"/>
      <c r="R93" s="24"/>
      <c r="S93" s="24"/>
      <c r="T93" s="24"/>
      <c r="U93" s="24"/>
      <c r="V93" s="24"/>
      <c r="W93" s="24"/>
      <c r="X93" s="24"/>
      <c r="Y93" s="24"/>
      <c r="Z93" s="24"/>
      <c r="AA93" s="24"/>
      <c r="AB93" s="24"/>
      <c r="AC93" s="24"/>
      <c r="AD93" s="24"/>
      <c r="AE93" s="24"/>
      <c r="AF93" s="24"/>
      <c r="AG93" s="24"/>
      <c r="AH93" s="24"/>
      <c r="AI93" s="24"/>
      <c r="AJ93" s="26"/>
      <c r="AL93" s="69">
        <f t="shared" si="0"/>
        <v>1</v>
      </c>
    </row>
    <row r="94" spans="2:38" ht="15" customHeight="1" x14ac:dyDescent="0.3">
      <c r="B94" s="19"/>
      <c r="C94" s="121" t="s">
        <v>314</v>
      </c>
      <c r="D94" s="20"/>
      <c r="E94" s="20"/>
      <c r="F94" s="20"/>
      <c r="G94" s="20"/>
      <c r="H94" s="20"/>
      <c r="I94" s="20"/>
      <c r="J94" s="20"/>
      <c r="K94" s="22" t="s">
        <v>17</v>
      </c>
      <c r="L94" s="22"/>
      <c r="M94" s="20" t="str">
        <f>IF(ISBLANK(M52),Tables!$J$13,IF(AP58="Yes",Tables!$J$13,""))</f>
        <v>Strip width &lt; 25-ft</v>
      </c>
      <c r="N94" s="20"/>
      <c r="O94" s="20"/>
      <c r="P94" s="20"/>
      <c r="Q94" s="20"/>
      <c r="R94" s="20"/>
      <c r="S94" s="20"/>
      <c r="T94" s="20"/>
      <c r="U94" s="20"/>
      <c r="V94" s="20"/>
      <c r="W94" s="20"/>
      <c r="X94" s="20"/>
      <c r="Y94" s="20"/>
      <c r="Z94" s="20"/>
      <c r="AA94" s="20"/>
      <c r="AB94" s="20"/>
      <c r="AC94" s="20"/>
      <c r="AD94" s="20"/>
      <c r="AE94" s="20"/>
      <c r="AF94" s="20"/>
      <c r="AG94" s="20"/>
      <c r="AH94" s="20"/>
      <c r="AI94" s="20"/>
      <c r="AJ94" s="21"/>
      <c r="AL94" s="69">
        <f t="shared" si="0"/>
        <v>1</v>
      </c>
    </row>
    <row r="95" spans="2:38" ht="15" customHeight="1" x14ac:dyDescent="0.3">
      <c r="B95" s="23"/>
      <c r="C95" s="24"/>
      <c r="D95" s="24"/>
      <c r="E95" s="24"/>
      <c r="F95" s="24"/>
      <c r="G95" s="24"/>
      <c r="H95" s="24"/>
      <c r="I95" s="24"/>
      <c r="J95" s="24"/>
      <c r="K95" s="25" t="s">
        <v>217</v>
      </c>
      <c r="L95" s="25"/>
      <c r="M95" s="24" t="str">
        <f>IF(ISBLANK(V52),Tables!$J$10,IF(AP55=2,Tables!$J$11,IF(AP55=3,Tables!$J$12,"")))</f>
        <v>Strip slope &lt; 2% or &gt; 6%</v>
      </c>
      <c r="N95" s="24"/>
      <c r="O95" s="24"/>
      <c r="P95" s="24"/>
      <c r="Q95" s="24"/>
      <c r="R95" s="24"/>
      <c r="S95" s="24"/>
      <c r="T95" s="24"/>
      <c r="U95" s="24"/>
      <c r="V95" s="24"/>
      <c r="W95" s="24"/>
      <c r="X95" s="24"/>
      <c r="Y95" s="24"/>
      <c r="Z95" s="24"/>
      <c r="AA95" s="24"/>
      <c r="AB95" s="24"/>
      <c r="AC95" s="24"/>
      <c r="AD95" s="24"/>
      <c r="AE95" s="24"/>
      <c r="AF95" s="24"/>
      <c r="AG95" s="24"/>
      <c r="AH95" s="24"/>
      <c r="AI95" s="24"/>
      <c r="AJ95" s="26"/>
      <c r="AL95" s="69">
        <f t="shared" si="0"/>
        <v>1</v>
      </c>
    </row>
    <row r="96" spans="2:38" ht="15" customHeight="1" x14ac:dyDescent="0.3">
      <c r="B96" s="19"/>
      <c r="C96" s="121" t="s">
        <v>294</v>
      </c>
      <c r="D96" s="20"/>
      <c r="E96" s="20"/>
      <c r="F96" s="20"/>
      <c r="G96" s="20"/>
      <c r="H96" s="20"/>
      <c r="I96" s="20"/>
      <c r="J96" s="20"/>
      <c r="K96" s="22" t="s">
        <v>300</v>
      </c>
      <c r="L96" s="22"/>
      <c r="M96" s="20" t="str">
        <f>IF(AL54&lt;2,Tables!$J$3,"")</f>
        <v>Latitude and/or Longitude not provided</v>
      </c>
      <c r="N96" s="20"/>
      <c r="O96" s="20"/>
      <c r="P96" s="20"/>
      <c r="Q96" s="20"/>
      <c r="R96" s="20"/>
      <c r="S96" s="20"/>
      <c r="T96" s="20"/>
      <c r="U96" s="20"/>
      <c r="V96" s="20"/>
      <c r="W96" s="20"/>
      <c r="X96" s="20"/>
      <c r="Y96" s="20"/>
      <c r="Z96" s="20"/>
      <c r="AA96" s="20"/>
      <c r="AB96" s="20"/>
      <c r="AC96" s="20"/>
      <c r="AD96" s="20"/>
      <c r="AE96" s="20"/>
      <c r="AF96" s="20"/>
      <c r="AG96" s="20"/>
      <c r="AH96" s="20"/>
      <c r="AI96" s="20"/>
      <c r="AJ96" s="21"/>
      <c r="AL96" s="69">
        <f t="shared" si="0"/>
        <v>1</v>
      </c>
    </row>
    <row r="97" spans="2:38" ht="15" customHeight="1" x14ac:dyDescent="0.3">
      <c r="B97" s="19"/>
      <c r="C97" s="20"/>
      <c r="D97" s="20"/>
      <c r="E97" s="20"/>
      <c r="F97" s="20"/>
      <c r="G97" s="20"/>
      <c r="H97" s="20"/>
      <c r="I97" s="20"/>
      <c r="J97" s="20"/>
      <c r="K97" s="22"/>
      <c r="L97" s="22"/>
      <c r="M97" s="20" t="str">
        <f>IF(AND(AL56=1,AL58=1),Tables!$J$4,IF(OR(AL56=3,AL58=3),Tables!$J$4,""))</f>
        <v>Latitude and/or Longitude has been entered as text.  Change to a number.</v>
      </c>
      <c r="N97" s="20"/>
      <c r="O97" s="20"/>
      <c r="P97" s="20"/>
      <c r="Q97" s="20"/>
      <c r="R97" s="20"/>
      <c r="S97" s="20"/>
      <c r="T97" s="20"/>
      <c r="U97" s="20"/>
      <c r="V97" s="20"/>
      <c r="W97" s="20"/>
      <c r="X97" s="20"/>
      <c r="Y97" s="20"/>
      <c r="Z97" s="20"/>
      <c r="AA97" s="20"/>
      <c r="AB97" s="20"/>
      <c r="AC97" s="20"/>
      <c r="AD97" s="20"/>
      <c r="AE97" s="20"/>
      <c r="AF97" s="20"/>
      <c r="AG97" s="20"/>
      <c r="AH97" s="20"/>
      <c r="AI97" s="20"/>
      <c r="AJ97" s="21"/>
      <c r="AL97" s="69">
        <f t="shared" si="0"/>
        <v>1</v>
      </c>
    </row>
    <row r="98" spans="2:38" ht="15" customHeight="1" x14ac:dyDescent="0.3">
      <c r="B98" s="23"/>
      <c r="C98" s="24"/>
      <c r="D98" s="24"/>
      <c r="E98" s="24"/>
      <c r="F98" s="24"/>
      <c r="G98" s="24"/>
      <c r="H98" s="24"/>
      <c r="I98" s="24"/>
      <c r="J98" s="24"/>
      <c r="K98" s="25"/>
      <c r="L98" s="25"/>
      <c r="M98" s="24"/>
      <c r="N98" s="24"/>
      <c r="O98" s="24"/>
      <c r="P98" s="24"/>
      <c r="Q98" s="24"/>
      <c r="R98" s="24"/>
      <c r="S98" s="24"/>
      <c r="T98" s="24"/>
      <c r="U98" s="24"/>
      <c r="V98" s="24"/>
      <c r="W98" s="24"/>
      <c r="X98" s="24"/>
      <c r="Y98" s="24"/>
      <c r="Z98" s="24"/>
      <c r="AA98" s="24"/>
      <c r="AB98" s="24"/>
      <c r="AC98" s="24"/>
      <c r="AD98" s="24"/>
      <c r="AE98" s="24"/>
      <c r="AF98" s="24"/>
      <c r="AG98" s="24"/>
      <c r="AH98" s="24"/>
      <c r="AI98" s="24"/>
      <c r="AJ98" s="26"/>
      <c r="AL98" s="69"/>
    </row>
    <row r="99" spans="2:38" ht="15" customHeight="1" x14ac:dyDescent="0.3"/>
    <row r="100" spans="2:38" ht="15" customHeight="1" x14ac:dyDescent="0.3"/>
    <row r="101" spans="2:38" ht="15" customHeight="1" x14ac:dyDescent="0.3"/>
    <row r="102" spans="2:38" ht="15" customHeight="1" x14ac:dyDescent="0.3"/>
    <row r="103" spans="2:38" ht="15" customHeight="1" x14ac:dyDescent="0.3">
      <c r="B103" s="177">
        <f>Tables!$F$13</f>
        <v>46266</v>
      </c>
      <c r="C103" s="177"/>
      <c r="D103" s="177"/>
      <c r="E103" s="177"/>
      <c r="F103" s="177"/>
      <c r="G103" s="177"/>
      <c r="H103" s="177"/>
      <c r="I103" s="59"/>
      <c r="R103" s="6" t="s">
        <v>297</v>
      </c>
    </row>
    <row r="104" spans="2:38" ht="15" customHeight="1" x14ac:dyDescent="0.3"/>
    <row r="105" spans="2:38" ht="15" customHeight="1" x14ac:dyDescent="0.3"/>
    <row r="106" spans="2:38" ht="15" customHeight="1" x14ac:dyDescent="0.3"/>
    <row r="107" spans="2:38" ht="15" customHeight="1" x14ac:dyDescent="0.3"/>
    <row r="108" spans="2:38" ht="15" customHeight="1" x14ac:dyDescent="0.3"/>
    <row r="109" spans="2:38" ht="13.8" x14ac:dyDescent="0.3"/>
  </sheetData>
  <sheetProtection algorithmName="SHA-512" hashValue="1/8myVr70qY5s1DutKB0iZXBuZR06GphNJXrB6lvMmZlxGmnZjLipRIxh8rPQE+cTMlyjGmNn2I9mzk8WgGKJQ==" saltValue="OwySNmbnAyxN+vHMfrpFNA==" spinCount="100000" sheet="1" objects="1" scenarios="1" selectLockedCells="1"/>
  <mergeCells count="69">
    <mergeCell ref="Y30:Z30"/>
    <mergeCell ref="Y32:Z32"/>
    <mergeCell ref="B59:H59"/>
    <mergeCell ref="B103:H103"/>
    <mergeCell ref="AG28:AI28"/>
    <mergeCell ref="AE40:AG40"/>
    <mergeCell ref="Y26:AA26"/>
    <mergeCell ref="AG26:AI26"/>
    <mergeCell ref="B63:AJ67"/>
    <mergeCell ref="K30:S30"/>
    <mergeCell ref="H32:J32"/>
    <mergeCell ref="Q32:S32"/>
    <mergeCell ref="H26:K26"/>
    <mergeCell ref="Q26:T26"/>
    <mergeCell ref="H28:J28"/>
    <mergeCell ref="Q28:S28"/>
    <mergeCell ref="Y28:AA28"/>
    <mergeCell ref="D60:Y60"/>
    <mergeCell ref="V48:X48"/>
    <mergeCell ref="M46:O46"/>
    <mergeCell ref="V46:X46"/>
    <mergeCell ref="F40:I40"/>
    <mergeCell ref="AS7:BF8"/>
    <mergeCell ref="E7:X7"/>
    <mergeCell ref="E8:X8"/>
    <mergeCell ref="Q24:R24"/>
    <mergeCell ref="X14:Z14"/>
    <mergeCell ref="X16:Z16"/>
    <mergeCell ref="X18:Z18"/>
    <mergeCell ref="X20:Z20"/>
    <mergeCell ref="X24:Z24"/>
    <mergeCell ref="Q20:R20"/>
    <mergeCell ref="Q22:R22"/>
    <mergeCell ref="Q16:R16"/>
    <mergeCell ref="Q18:R18"/>
    <mergeCell ref="X22:Z22"/>
    <mergeCell ref="Q12:U12"/>
    <mergeCell ref="BL1:BZ4"/>
    <mergeCell ref="N38:P38"/>
    <mergeCell ref="AD81:AH81"/>
    <mergeCell ref="F76:Z76"/>
    <mergeCell ref="F77:L77"/>
    <mergeCell ref="P77:S77"/>
    <mergeCell ref="M54:P54"/>
    <mergeCell ref="V54:Y54"/>
    <mergeCell ref="AE7:AJ7"/>
    <mergeCell ref="AE8:AJ8"/>
    <mergeCell ref="AE61:AJ61"/>
    <mergeCell ref="N40:P40"/>
    <mergeCell ref="W40:Y40"/>
    <mergeCell ref="W1:AK4"/>
    <mergeCell ref="W38:Y38"/>
    <mergeCell ref="Q14:R14"/>
    <mergeCell ref="AC6:AJ6"/>
    <mergeCell ref="F79:J79"/>
    <mergeCell ref="X77:Z77"/>
    <mergeCell ref="F74:Z74"/>
    <mergeCell ref="F75:Z75"/>
    <mergeCell ref="F78:Z78"/>
    <mergeCell ref="M44:O44"/>
    <mergeCell ref="F44:H44"/>
    <mergeCell ref="V44:X44"/>
    <mergeCell ref="AG44:AI44"/>
    <mergeCell ref="M52:O52"/>
    <mergeCell ref="V52:X52"/>
    <mergeCell ref="M48:O48"/>
    <mergeCell ref="M50:O50"/>
    <mergeCell ref="AE60:AJ60"/>
    <mergeCell ref="F38:I38"/>
  </mergeCells>
  <conditionalFormatting sqref="B63">
    <cfRule type="expression" dxfId="117" priority="1525">
      <formula>$AL$84&gt;0</formula>
    </cfRule>
    <cfRule type="cellIs" priority="1524" stopIfTrue="1" operator="greaterThan">
      <formula>0</formula>
    </cfRule>
  </conditionalFormatting>
  <conditionalFormatting sqref="D60">
    <cfRule type="cellIs" dxfId="116" priority="450" operator="equal">
      <formula>0</formula>
    </cfRule>
  </conditionalFormatting>
  <conditionalFormatting sqref="E7:E8">
    <cfRule type="expression" dxfId="115" priority="467">
      <formula>ISBLANK(E7)</formula>
    </cfRule>
  </conditionalFormatting>
  <conditionalFormatting sqref="F14 F16 F18 F20 F22">
    <cfRule type="expression" dxfId="114" priority="27">
      <formula>$AL$14=1</formula>
    </cfRule>
    <cfRule type="expression" priority="26">
      <formula>$AL$14=2</formula>
    </cfRule>
  </conditionalFormatting>
  <conditionalFormatting sqref="F74:F75">
    <cfRule type="expression" dxfId="113" priority="456">
      <formula>ISBLANK(F74)</formula>
    </cfRule>
  </conditionalFormatting>
  <conditionalFormatting sqref="F77:F79">
    <cfRule type="expression" dxfId="112" priority="283">
      <formula>ISBLANK(F77)</formula>
    </cfRule>
  </conditionalFormatting>
  <conditionalFormatting sqref="F44:H44">
    <cfRule type="expression" dxfId="111" priority="51">
      <formula>ISBLANK(F44)</formula>
    </cfRule>
  </conditionalFormatting>
  <conditionalFormatting sqref="F38:I38 N38:P38 W38:Y38 F40:I40 N40:P40 W40:Y40 AE40:AG40">
    <cfRule type="expression" dxfId="110" priority="54">
      <formula>ISBLANK(F38)</formula>
    </cfRule>
  </conditionalFormatting>
  <conditionalFormatting sqref="F76:Z76">
    <cfRule type="expression" dxfId="109" priority="286">
      <formula>ISBLANK(F76)</formula>
    </cfRule>
  </conditionalFormatting>
  <conditionalFormatting sqref="G10 N10">
    <cfRule type="expression" dxfId="108" priority="447">
      <formula>ISBLANK(G10)</formula>
    </cfRule>
  </conditionalFormatting>
  <conditionalFormatting sqref="H26 Q26">
    <cfRule type="expression" dxfId="107" priority="37">
      <formula>ISBLANK(H26)</formula>
    </cfRule>
  </conditionalFormatting>
  <conditionalFormatting sqref="H28">
    <cfRule type="cellIs" priority="34" stopIfTrue="1" operator="greaterThan">
      <formula>0</formula>
    </cfRule>
    <cfRule type="expression" priority="35" stopIfTrue="1">
      <formula>$AM$28=2</formula>
    </cfRule>
    <cfRule type="expression" dxfId="106" priority="36">
      <formula>ISBLANK($H$28)</formula>
    </cfRule>
  </conditionalFormatting>
  <conditionalFormatting sqref="H26:K26 Q26:T26 Y26:AA26 AG26:AI26 H28:J28 Y28:AA28 AG28:AI28 K30:S30 AF30 AI30 H32:J32 Q32:S32 Y32:Z32">
    <cfRule type="expression" priority="1" stopIfTrue="1">
      <formula>$AL$22=2</formula>
    </cfRule>
  </conditionalFormatting>
  <conditionalFormatting sqref="J34 M34 P34 S34">
    <cfRule type="expression" dxfId="105" priority="1510">
      <formula>$AL34=1</formula>
    </cfRule>
    <cfRule type="expression" priority="1509" stopIfTrue="1">
      <formula>$AL34=2</formula>
    </cfRule>
  </conditionalFormatting>
  <conditionalFormatting sqref="K30:S30 H32 Q32 Y32">
    <cfRule type="expression" dxfId="104" priority="2">
      <formula>ISBLANK(H30)</formula>
    </cfRule>
  </conditionalFormatting>
  <conditionalFormatting sqref="M44:O44">
    <cfRule type="expression" dxfId="103" priority="53">
      <formula>ISBLANK(M44)</formula>
    </cfRule>
    <cfRule type="cellIs" dxfId="102" priority="18" operator="notEqual">
      <formula>0</formula>
    </cfRule>
  </conditionalFormatting>
  <conditionalFormatting sqref="M46:O46">
    <cfRule type="expression" dxfId="101" priority="41">
      <formula>ISBLANK(M46)</formula>
    </cfRule>
  </conditionalFormatting>
  <conditionalFormatting sqref="M48:O48">
    <cfRule type="cellIs" dxfId="100" priority="45" operator="lessThan">
      <formula>3</formula>
    </cfRule>
    <cfRule type="expression" dxfId="99" priority="16">
      <formula>ISBLANK(M48)</formula>
    </cfRule>
  </conditionalFormatting>
  <conditionalFormatting sqref="M50:O50">
    <cfRule type="cellIs" dxfId="98" priority="44" operator="notBetween">
      <formula>$AP$52</formula>
      <formula>$AP$53</formula>
    </cfRule>
    <cfRule type="expression" dxfId="97" priority="9">
      <formula>ISBLANK(M50)</formula>
    </cfRule>
  </conditionalFormatting>
  <conditionalFormatting sqref="M52:O52">
    <cfRule type="expression" dxfId="96" priority="7">
      <formula>ISBLANK(M52)</formula>
    </cfRule>
    <cfRule type="cellIs" dxfId="95" priority="47" operator="lessThan">
      <formula>$AP$57</formula>
    </cfRule>
  </conditionalFormatting>
  <conditionalFormatting sqref="M54:P54 V54:Y54">
    <cfRule type="cellIs" dxfId="94" priority="110" operator="equal">
      <formula>0</formula>
    </cfRule>
  </conditionalFormatting>
  <conditionalFormatting sqref="M54:P54">
    <cfRule type="expression" dxfId="93" priority="1522">
      <formula>$AL$56=3</formula>
    </cfRule>
  </conditionalFormatting>
  <conditionalFormatting sqref="P77">
    <cfRule type="expression" dxfId="92" priority="284">
      <formula>ISBLANK(P77)</formula>
    </cfRule>
  </conditionalFormatting>
  <conditionalFormatting sqref="Q28:S28 Y28:AA28">
    <cfRule type="expression" dxfId="91" priority="32">
      <formula>$AM$28=1</formula>
    </cfRule>
    <cfRule type="expression" priority="31" stopIfTrue="1">
      <formula>$AL$28=2</formula>
    </cfRule>
  </conditionalFormatting>
  <conditionalFormatting sqref="V44:X44">
    <cfRule type="expression" dxfId="90" priority="50">
      <formula>$V$44-$AG$44&lt;0.25</formula>
    </cfRule>
    <cfRule type="expression" dxfId="89" priority="17">
      <formula>ISBLANK(V44)</formula>
    </cfRule>
  </conditionalFormatting>
  <conditionalFormatting sqref="V46:X46">
    <cfRule type="cellIs" dxfId="88" priority="10" operator="greaterThan">
      <formula>$AP$46</formula>
    </cfRule>
    <cfRule type="expression" dxfId="87" priority="40">
      <formula>ISBLANK(V46)</formula>
    </cfRule>
  </conditionalFormatting>
  <conditionalFormatting sqref="V48:X48">
    <cfRule type="expression" dxfId="86" priority="15">
      <formula>ISBLANK(V48)</formula>
    </cfRule>
    <cfRule type="cellIs" dxfId="85" priority="43" operator="lessThan">
      <formula>3</formula>
    </cfRule>
  </conditionalFormatting>
  <conditionalFormatting sqref="V52:X52">
    <cfRule type="expression" dxfId="84" priority="8">
      <formula>ISBLANK(V52)</formula>
    </cfRule>
    <cfRule type="cellIs" dxfId="83" priority="46" operator="notBetween">
      <formula>$AP$52</formula>
      <formula>$AP$53</formula>
    </cfRule>
  </conditionalFormatting>
  <conditionalFormatting sqref="V54:Y54">
    <cfRule type="expression" dxfId="82" priority="1523">
      <formula>$AL$58=3</formula>
    </cfRule>
  </conditionalFormatting>
  <conditionalFormatting sqref="X77">
    <cfRule type="expression" dxfId="81" priority="285">
      <formula>ISBLANK(X77)</formula>
    </cfRule>
  </conditionalFormatting>
  <conditionalFormatting sqref="X14:Z14 X16:Z16 X18:Z18 X20:Z20 X22:Z22 X24:Z24">
    <cfRule type="expression" dxfId="80" priority="25">
      <formula>ISBLANK(X14)</formula>
    </cfRule>
  </conditionalFormatting>
  <conditionalFormatting sqref="Y32 AA32">
    <cfRule type="cellIs" dxfId="79" priority="20" operator="lessThan">
      <formula>$AQ$26</formula>
    </cfRule>
  </conditionalFormatting>
  <conditionalFormatting sqref="Y30:Z30">
    <cfRule type="cellIs" priority="4" stopIfTrue="1" operator="greaterThan">
      <formula>0</formula>
    </cfRule>
    <cfRule type="expression" dxfId="78" priority="5">
      <formula>$AQ$24="Yes"</formula>
    </cfRule>
    <cfRule type="expression" dxfId="77" priority="3">
      <formula>$AQ$24="Yes"</formula>
    </cfRule>
  </conditionalFormatting>
  <conditionalFormatting sqref="Y26:AA26">
    <cfRule type="expression" dxfId="76" priority="29">
      <formula>ISBLANK(Y26)</formula>
    </cfRule>
  </conditionalFormatting>
  <conditionalFormatting sqref="Y28:AA28 Q28:S28">
    <cfRule type="cellIs" priority="30" stopIfTrue="1" operator="greaterThan">
      <formula>0</formula>
    </cfRule>
  </conditionalFormatting>
  <conditionalFormatting sqref="AC6">
    <cfRule type="cellIs" dxfId="75" priority="105" operator="equal">
      <formula>0</formula>
    </cfRule>
  </conditionalFormatting>
  <conditionalFormatting sqref="AD81">
    <cfRule type="expression" dxfId="74" priority="454">
      <formula>ISBLANK(AD81)</formula>
    </cfRule>
  </conditionalFormatting>
  <conditionalFormatting sqref="AE7:AJ8">
    <cfRule type="expression" dxfId="73" priority="300">
      <formula>ISBLANK(AE7)</formula>
    </cfRule>
  </conditionalFormatting>
  <conditionalFormatting sqref="AE60:AJ61">
    <cfRule type="cellIs" dxfId="72" priority="289" operator="equal">
      <formula>0</formula>
    </cfRule>
  </conditionalFormatting>
  <conditionalFormatting sqref="AF30 AI30">
    <cfRule type="expression" dxfId="71" priority="1519">
      <formula>$AM30=1</formula>
    </cfRule>
  </conditionalFormatting>
  <conditionalFormatting sqref="AG26:AI26">
    <cfRule type="expression" dxfId="70" priority="28">
      <formula>ISBLANK(AG26)</formula>
    </cfRule>
  </conditionalFormatting>
  <conditionalFormatting sqref="AG28:AI28">
    <cfRule type="expression" dxfId="69" priority="33">
      <formula>ISBLANK(AG28)</formula>
    </cfRule>
  </conditionalFormatting>
  <conditionalFormatting sqref="AG44:AI44">
    <cfRule type="expression" dxfId="68" priority="6">
      <formula>ISBLANK(AG44)</formula>
    </cfRule>
    <cfRule type="expression" dxfId="67" priority="49">
      <formula>$V$44-$AG$44&lt;0.25</formula>
    </cfRule>
  </conditionalFormatting>
  <conditionalFormatting sqref="AI30">
    <cfRule type="expression" dxfId="66" priority="1521">
      <formula>$AN30=2</formula>
    </cfRule>
  </conditionalFormatting>
  <conditionalFormatting sqref="AI36 AF36">
    <cfRule type="expression" dxfId="65" priority="531">
      <formula>$AL36=1</formula>
    </cfRule>
  </conditionalFormatting>
  <conditionalFormatting sqref="AI36">
    <cfRule type="expression" dxfId="64" priority="14">
      <formula>$AM$36=2</formula>
    </cfRule>
  </conditionalFormatting>
  <conditionalFormatting sqref="AI42 AI50 AF42 AF50">
    <cfRule type="expression" dxfId="63" priority="183">
      <formula>$AL42=1</formula>
    </cfRule>
  </conditionalFormatting>
  <conditionalFormatting sqref="AI42">
    <cfRule type="expression" dxfId="62" priority="13">
      <formula>$AM$42=2</formula>
    </cfRule>
  </conditionalFormatting>
  <conditionalFormatting sqref="AI48 AF48">
    <cfRule type="expression" dxfId="61" priority="19">
      <formula>$AL48=1</formula>
    </cfRule>
  </conditionalFormatting>
  <conditionalFormatting sqref="AI48">
    <cfRule type="expression" dxfId="60" priority="11">
      <formula>$AM$48=2</formula>
    </cfRule>
  </conditionalFormatting>
  <conditionalFormatting sqref="AI50">
    <cfRule type="expression" dxfId="59" priority="12">
      <formula>$AM$50=2</formula>
    </cfRule>
  </conditionalFormatting>
  <dataValidations count="2">
    <dataValidation type="list" allowBlank="1" showInputMessage="1" showErrorMessage="1" sqref="F40:I40 Q26:T26" xr:uid="{DA2C8436-B703-4142-BC5C-9FC31B81A6C7}">
      <formula1>Shape</formula1>
    </dataValidation>
    <dataValidation type="list" allowBlank="1" showInputMessage="1" showErrorMessage="1" sqref="F38:I38 H26:K26" xr:uid="{F9FCB241-036B-4D7D-BBE2-FAC3AE116326}">
      <formula1>Material</formula1>
    </dataValidation>
  </dataValidations>
  <pageMargins left="0.2" right="0.2" top="0.5" bottom="0.25" header="0.3" footer="0.3"/>
  <pageSetup fitToWidth="0" orientation="portrait" r:id="rId1"/>
  <rowBreaks count="1" manualBreakCount="1">
    <brk id="59" max="16383" man="1"/>
  </rowBreaks>
  <colBreaks count="1" manualBreakCount="1">
    <brk id="43" max="1048575" man="1"/>
  </colBreaks>
  <drawing r:id="rId2"/>
  <legacyDrawing r:id="rId3"/>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Instructions Tab, accept the conditions to use this form._x000a__x000a_                     OR_x000a__x000a_This form has expired.  Please obtain the latest version of this form." xr:uid="{306CA1BD-32A3-469F-958A-33B9DA150433}">
          <x14:formula1>
            <xm:f>Tables!$B$8</xm:f>
          </x14:formula1>
          <xm:sqref>AD81:AH81 E7:X8 AI48 G10 N10 X20:Z20 X22:Z22 J34 M34 P34 S34 F74:Z76 AI36 B63 M44:O44 V44:X44 M50:O50 M54:P54 V54:Y54 V46:X46 AF42 W38:Y38 N38:P38 AG44:AI44 AG26:AI26 X24:Z24 F77:L77 P77:S77 X77:Z77 F78:Z78 F79:J79 AE7:AJ8 X14:Z14 X16:Z16 X18:Z18 AF36 W40:Y40 AI42 AE40:AG40 M52:O52 V52:X52 AI50 AC6 M48:O48 V48:X48 F44:H44 N40:P40 M46:O46 Y26:AA26 AF48 AF50 F14 F16 F18 F20 F22 H28:J28 Q28:S28 Y28:AA28 AG28:AI28 H32:J32 Q32:S32 AI30 AF30 Y32 AA32</xm:sqref>
        </x14:dataValidation>
        <x14:dataValidation type="list" allowBlank="1" showInputMessage="1" showErrorMessage="1" xr:uid="{C2378D2F-EF52-4293-84D5-4B94D202A5F2}">
          <x14:formula1>
            <xm:f>Tables!$H$9:$H$14</xm:f>
          </x14:formula1>
          <xm:sqref>K30:S30</xm:sqref>
        </x14:dataValidation>
        <x14:dataValidation type="list" allowBlank="1" showInputMessage="1" showErrorMessage="1" xr:uid="{A4232813-9502-4E3E-9008-DE6A82871C3B}">
          <x14:formula1>
            <xm:f>Tables!$H$18:$H$22</xm:f>
          </x14:formula1>
          <xm:sqref>Y30:Z30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C2E40-779F-4ADC-9DBC-41371F4FD686}">
  <sheetPr codeName="Sheet2">
    <tabColor theme="8" tint="0.39997558519241921"/>
  </sheetPr>
  <dimension ref="A1:CD186"/>
  <sheetViews>
    <sheetView showGridLines="0" showRowColHeaders="0" showZeros="0" zoomScale="150" zoomScaleNormal="150" workbookViewId="0">
      <selection activeCell="AF7" sqref="AF7:AK7"/>
    </sheetView>
  </sheetViews>
  <sheetFormatPr defaultColWidth="0" defaultRowHeight="0" customHeight="1" zeroHeight="1" x14ac:dyDescent="0.3"/>
  <cols>
    <col min="1" max="1" width="2.33203125" style="4" customWidth="1"/>
    <col min="2" max="7" width="2.77734375" style="4" customWidth="1"/>
    <col min="8" max="8" width="1.77734375" style="4" customWidth="1"/>
    <col min="9" max="25" width="2.77734375" style="4" customWidth="1"/>
    <col min="26" max="26" width="1.77734375" style="4" customWidth="1"/>
    <col min="27" max="38" width="2.77734375" style="4" customWidth="1"/>
    <col min="39" max="39" width="10.33203125" style="34" hidden="1" customWidth="1"/>
    <col min="40" max="40" width="9.21875" style="34" hidden="1" customWidth="1"/>
    <col min="41" max="41" width="9" style="62" hidden="1" customWidth="1"/>
    <col min="42" max="43" width="10" style="62" hidden="1" customWidth="1"/>
    <col min="44" max="44" width="3.77734375" style="4" customWidth="1"/>
    <col min="45" max="45" width="3.77734375" style="38" customWidth="1"/>
    <col min="46" max="47" width="3.77734375" style="4" customWidth="1"/>
    <col min="48" max="78" width="2.77734375" style="4" customWidth="1"/>
    <col min="79" max="16384" width="8.88671875" style="4" hidden="1"/>
  </cols>
  <sheetData>
    <row r="1" spans="1:82" ht="15" customHeight="1" x14ac:dyDescent="0.3">
      <c r="P1" s="5"/>
      <c r="Q1" s="5"/>
      <c r="R1" s="5"/>
      <c r="S1" s="5"/>
      <c r="T1" s="5"/>
      <c r="V1" s="15"/>
      <c r="W1" s="156" t="s">
        <v>332</v>
      </c>
      <c r="X1" s="156"/>
      <c r="Y1" s="156"/>
      <c r="Z1" s="156"/>
      <c r="AA1" s="156"/>
      <c r="AB1" s="156"/>
      <c r="AC1" s="156"/>
      <c r="AD1" s="156"/>
      <c r="AE1" s="156"/>
      <c r="AF1" s="156"/>
      <c r="AG1" s="156"/>
      <c r="AH1" s="156"/>
      <c r="AI1" s="156"/>
      <c r="AJ1" s="156"/>
      <c r="AK1" s="156"/>
      <c r="AL1" s="156"/>
      <c r="BH1" s="15"/>
      <c r="BI1" s="15"/>
      <c r="BJ1" s="15"/>
      <c r="BK1" s="156" t="s">
        <v>22</v>
      </c>
      <c r="BL1" s="156"/>
      <c r="BM1" s="156"/>
      <c r="BN1" s="156"/>
      <c r="BO1" s="156"/>
      <c r="BP1" s="156"/>
      <c r="BQ1" s="156"/>
      <c r="BR1" s="156"/>
      <c r="BS1" s="156"/>
      <c r="BT1" s="156"/>
      <c r="BU1" s="156"/>
      <c r="BV1" s="156"/>
      <c r="BW1" s="156"/>
      <c r="BX1" s="156"/>
      <c r="BY1" s="15"/>
      <c r="BZ1" s="15"/>
      <c r="CA1" s="15"/>
      <c r="CB1" s="15"/>
      <c r="CC1" s="15"/>
      <c r="CD1" s="15"/>
    </row>
    <row r="2" spans="1:82" ht="15" customHeight="1" x14ac:dyDescent="0.3">
      <c r="K2" s="5"/>
      <c r="L2" s="5"/>
      <c r="M2" s="5"/>
      <c r="N2" s="5"/>
      <c r="O2" s="5"/>
      <c r="P2" s="5"/>
      <c r="Q2" s="5"/>
      <c r="R2" s="5"/>
      <c r="S2" s="5"/>
      <c r="T2" s="5"/>
      <c r="U2" s="15"/>
      <c r="V2" s="15"/>
      <c r="W2" s="156"/>
      <c r="X2" s="156"/>
      <c r="Y2" s="156"/>
      <c r="Z2" s="156"/>
      <c r="AA2" s="156"/>
      <c r="AB2" s="156"/>
      <c r="AC2" s="156"/>
      <c r="AD2" s="156"/>
      <c r="AE2" s="156"/>
      <c r="AF2" s="156"/>
      <c r="AG2" s="156"/>
      <c r="AH2" s="156"/>
      <c r="AI2" s="156"/>
      <c r="AJ2" s="156"/>
      <c r="AK2" s="156"/>
      <c r="AL2" s="156"/>
      <c r="BF2" s="15"/>
      <c r="BG2" s="15"/>
      <c r="BH2" s="15"/>
      <c r="BI2" s="15"/>
      <c r="BJ2" s="15"/>
      <c r="BK2" s="156"/>
      <c r="BL2" s="156"/>
      <c r="BM2" s="156"/>
      <c r="BN2" s="156"/>
      <c r="BO2" s="156"/>
      <c r="BP2" s="156"/>
      <c r="BQ2" s="156"/>
      <c r="BR2" s="156"/>
      <c r="BS2" s="156"/>
      <c r="BT2" s="156"/>
      <c r="BU2" s="156"/>
      <c r="BV2" s="156"/>
      <c r="BW2" s="156"/>
      <c r="BX2" s="156"/>
      <c r="BY2" s="15"/>
      <c r="BZ2" s="15"/>
      <c r="CA2" s="15"/>
      <c r="CB2" s="15"/>
      <c r="CC2" s="15"/>
      <c r="CD2" s="15"/>
    </row>
    <row r="3" spans="1:82" ht="15" customHeight="1" x14ac:dyDescent="0.3">
      <c r="K3" s="5"/>
      <c r="L3" s="5"/>
      <c r="M3" s="5"/>
      <c r="N3" s="5"/>
      <c r="O3" s="5"/>
      <c r="P3" s="5"/>
      <c r="Q3" s="5"/>
      <c r="R3" s="5"/>
      <c r="S3" s="5"/>
      <c r="T3" s="5"/>
      <c r="U3" s="15"/>
      <c r="V3" s="15"/>
      <c r="W3" s="156"/>
      <c r="X3" s="156"/>
      <c r="Y3" s="156"/>
      <c r="Z3" s="156"/>
      <c r="AA3" s="156"/>
      <c r="AB3" s="156"/>
      <c r="AC3" s="156"/>
      <c r="AD3" s="156"/>
      <c r="AE3" s="156"/>
      <c r="AF3" s="156"/>
      <c r="AG3" s="156"/>
      <c r="AH3" s="156"/>
      <c r="AI3" s="156"/>
      <c r="AJ3" s="156"/>
      <c r="AK3" s="156"/>
      <c r="AL3" s="156"/>
      <c r="BF3" s="15"/>
      <c r="BG3" s="15"/>
      <c r="BH3" s="15"/>
      <c r="BI3" s="15"/>
      <c r="BJ3" s="15"/>
      <c r="BK3" s="156"/>
      <c r="BL3" s="156"/>
      <c r="BM3" s="156"/>
      <c r="BN3" s="156"/>
      <c r="BO3" s="156"/>
      <c r="BP3" s="156"/>
      <c r="BQ3" s="156"/>
      <c r="BR3" s="156"/>
      <c r="BS3" s="156"/>
      <c r="BT3" s="156"/>
      <c r="BU3" s="156"/>
      <c r="BV3" s="156"/>
      <c r="BW3" s="156"/>
      <c r="BX3" s="156"/>
      <c r="BY3" s="15"/>
      <c r="BZ3" s="15"/>
      <c r="CA3" s="15"/>
      <c r="CB3" s="15"/>
      <c r="CC3" s="15"/>
      <c r="CD3" s="15"/>
    </row>
    <row r="4" spans="1:82" ht="15" customHeight="1" x14ac:dyDescent="0.3">
      <c r="K4" s="5"/>
      <c r="L4" s="5"/>
      <c r="M4" s="5"/>
      <c r="N4" s="5"/>
      <c r="O4" s="5"/>
      <c r="P4" s="5"/>
      <c r="Q4" s="5"/>
      <c r="R4" s="5"/>
      <c r="S4" s="5"/>
      <c r="T4" s="5"/>
      <c r="U4" s="15"/>
      <c r="V4" s="15"/>
      <c r="W4" s="156"/>
      <c r="X4" s="156"/>
      <c r="Y4" s="156"/>
      <c r="Z4" s="156"/>
      <c r="AA4" s="156"/>
      <c r="AB4" s="156"/>
      <c r="AC4" s="156"/>
      <c r="AD4" s="156"/>
      <c r="AE4" s="156"/>
      <c r="AF4" s="156"/>
      <c r="AG4" s="156"/>
      <c r="AH4" s="156"/>
      <c r="AI4" s="156"/>
      <c r="AJ4" s="156"/>
      <c r="AK4" s="156"/>
      <c r="AL4" s="156"/>
      <c r="BG4" s="15"/>
      <c r="BH4" s="15"/>
      <c r="BI4" s="15"/>
      <c r="BJ4" s="15"/>
      <c r="BK4" s="156"/>
      <c r="BL4" s="156"/>
      <c r="BM4" s="156"/>
      <c r="BN4" s="156"/>
      <c r="BO4" s="156"/>
      <c r="BP4" s="156"/>
      <c r="BQ4" s="156"/>
      <c r="BR4" s="156"/>
      <c r="BS4" s="156"/>
      <c r="BT4" s="156"/>
      <c r="BU4" s="156"/>
      <c r="BV4" s="156"/>
      <c r="BW4" s="156"/>
      <c r="BX4" s="156"/>
      <c r="BY4" s="15"/>
      <c r="BZ4" s="15"/>
      <c r="CA4" s="15"/>
      <c r="CB4" s="15"/>
      <c r="CC4" s="15"/>
      <c r="CD4" s="15"/>
    </row>
    <row r="5" spans="1:82" ht="4.95" customHeight="1" x14ac:dyDescent="0.3">
      <c r="K5" s="5"/>
      <c r="L5" s="5"/>
      <c r="M5" s="5"/>
      <c r="N5" s="5"/>
      <c r="O5" s="5"/>
      <c r="P5" s="5"/>
      <c r="Q5" s="5"/>
      <c r="R5" s="5"/>
      <c r="S5" s="5"/>
      <c r="T5" s="5"/>
      <c r="U5" s="10"/>
      <c r="V5" s="10"/>
      <c r="W5" s="10"/>
      <c r="X5" s="10"/>
      <c r="Y5" s="10"/>
      <c r="Z5" s="10"/>
      <c r="AA5" s="10"/>
      <c r="AB5" s="10"/>
      <c r="AC5" s="10"/>
      <c r="AD5" s="10"/>
      <c r="AE5" s="10"/>
      <c r="AF5" s="10"/>
      <c r="AG5" s="10"/>
      <c r="AH5" s="10"/>
      <c r="AI5" s="10"/>
      <c r="AJ5" s="10"/>
      <c r="AK5" s="10"/>
      <c r="AL5" s="10"/>
      <c r="BG5" s="10"/>
      <c r="BH5" s="10"/>
      <c r="BI5" s="10"/>
      <c r="BJ5" s="10"/>
      <c r="BK5" s="10"/>
      <c r="BL5" s="10"/>
      <c r="BM5" s="10"/>
      <c r="BN5" s="10"/>
      <c r="BO5" s="10"/>
      <c r="BP5" s="10"/>
      <c r="BQ5" s="10"/>
      <c r="BR5" s="10"/>
      <c r="BS5" s="10"/>
      <c r="BT5" s="10"/>
      <c r="BU5" s="10"/>
      <c r="BV5" s="10"/>
      <c r="BW5" s="10"/>
      <c r="BX5" s="10"/>
      <c r="BY5" s="10"/>
      <c r="BZ5" s="15"/>
      <c r="CA5" s="15"/>
      <c r="CB5" s="15"/>
      <c r="CC5" s="15"/>
      <c r="CD5" s="15"/>
    </row>
    <row r="6" spans="1:82" ht="15" customHeight="1" x14ac:dyDescent="0.3">
      <c r="B6" s="1" t="s">
        <v>0</v>
      </c>
      <c r="C6" s="1"/>
      <c r="D6" s="1"/>
      <c r="E6" s="1"/>
      <c r="F6" s="1"/>
      <c r="G6" s="1"/>
      <c r="H6" s="1"/>
      <c r="I6" s="1"/>
      <c r="J6" s="1"/>
      <c r="AC6" s="2" t="s">
        <v>170</v>
      </c>
      <c r="AD6" s="198">
        <f>'Form 2G - Design'!AC6</f>
        <v>0</v>
      </c>
      <c r="AE6" s="198"/>
      <c r="AF6" s="198"/>
      <c r="AG6" s="198"/>
      <c r="AH6" s="198"/>
      <c r="AI6" s="198"/>
      <c r="AJ6" s="198"/>
      <c r="AK6" s="198"/>
      <c r="AM6" s="69">
        <f>LEN(AD6)</f>
        <v>1</v>
      </c>
      <c r="AS6" s="163" t="s">
        <v>29</v>
      </c>
      <c r="AT6" s="163"/>
      <c r="AU6" s="163"/>
      <c r="AV6" s="163"/>
      <c r="AW6" s="163"/>
      <c r="AX6" s="163"/>
      <c r="AY6" s="163"/>
      <c r="AZ6" s="163"/>
      <c r="BA6" s="163"/>
      <c r="BB6" s="163"/>
      <c r="BC6" s="163"/>
      <c r="BD6" s="163"/>
      <c r="BE6" s="163"/>
      <c r="BF6" s="163"/>
      <c r="BG6" s="29"/>
      <c r="BH6" s="29"/>
      <c r="BI6" s="29"/>
      <c r="BJ6" s="29"/>
      <c r="BK6" s="29"/>
      <c r="BL6" s="29"/>
      <c r="BM6" s="29"/>
      <c r="BN6" s="29"/>
      <c r="BO6" s="29"/>
      <c r="BP6" s="29"/>
      <c r="BQ6" s="29"/>
      <c r="BR6" s="29"/>
      <c r="BS6" s="29"/>
      <c r="BT6" s="29"/>
      <c r="BU6" s="29"/>
      <c r="BV6" s="29"/>
      <c r="BW6" s="29"/>
      <c r="BX6" s="29"/>
      <c r="BY6" s="29"/>
      <c r="BZ6" s="29"/>
    </row>
    <row r="7" spans="1:82" ht="15" customHeight="1" x14ac:dyDescent="0.3">
      <c r="C7" s="2"/>
      <c r="D7" s="2" t="s">
        <v>64</v>
      </c>
      <c r="E7" s="175">
        <f>'Form 2G - Design'!E7</f>
        <v>0</v>
      </c>
      <c r="F7" s="175"/>
      <c r="G7" s="175"/>
      <c r="H7" s="175"/>
      <c r="I7" s="175"/>
      <c r="J7" s="175"/>
      <c r="K7" s="175"/>
      <c r="L7" s="175"/>
      <c r="M7" s="175"/>
      <c r="N7" s="175"/>
      <c r="O7" s="175"/>
      <c r="P7" s="175"/>
      <c r="Q7" s="175"/>
      <c r="R7" s="175"/>
      <c r="S7" s="175"/>
      <c r="T7" s="175"/>
      <c r="U7" s="175"/>
      <c r="V7" s="175"/>
      <c r="W7" s="175"/>
      <c r="X7" s="175"/>
      <c r="Y7" s="175"/>
      <c r="Z7" s="175"/>
      <c r="AE7" s="2" t="s">
        <v>83</v>
      </c>
      <c r="AF7" s="197"/>
      <c r="AG7" s="197"/>
      <c r="AH7" s="197"/>
      <c r="AI7" s="197"/>
      <c r="AJ7" s="197"/>
      <c r="AK7" s="197"/>
      <c r="AS7" s="163"/>
      <c r="AT7" s="163"/>
      <c r="AU7" s="163"/>
      <c r="AV7" s="163"/>
      <c r="AW7" s="163"/>
      <c r="AX7" s="163"/>
      <c r="AY7" s="163"/>
      <c r="AZ7" s="163"/>
      <c r="BA7" s="163"/>
      <c r="BB7" s="163"/>
      <c r="BC7" s="163"/>
      <c r="BD7" s="163"/>
      <c r="BE7" s="163"/>
      <c r="BF7" s="163"/>
      <c r="BG7" s="29"/>
      <c r="BH7" s="29"/>
      <c r="BI7" s="29"/>
      <c r="BJ7" s="29"/>
      <c r="BK7" s="29"/>
      <c r="BL7" s="29"/>
      <c r="BM7" s="29"/>
      <c r="BN7" s="29"/>
      <c r="BO7" s="29"/>
      <c r="BP7" s="29"/>
      <c r="BQ7" s="29"/>
      <c r="BR7" s="29"/>
      <c r="BS7" s="29"/>
      <c r="BT7" s="29"/>
      <c r="BU7" s="29"/>
      <c r="BV7" s="29"/>
      <c r="BW7" s="29"/>
      <c r="BX7" s="29"/>
      <c r="BY7" s="29"/>
      <c r="BZ7" s="29"/>
    </row>
    <row r="8" spans="1:82" ht="15" customHeight="1" x14ac:dyDescent="0.3">
      <c r="C8" s="2"/>
      <c r="D8" s="2" t="s">
        <v>65</v>
      </c>
      <c r="E8" s="187">
        <f>'Form 2G - Design'!$E$8</f>
        <v>0</v>
      </c>
      <c r="F8" s="187"/>
      <c r="G8" s="187"/>
      <c r="H8" s="187"/>
      <c r="I8" s="187"/>
      <c r="J8" s="187"/>
      <c r="K8" s="187"/>
      <c r="L8" s="187"/>
      <c r="M8" s="187"/>
      <c r="N8" s="187"/>
      <c r="O8" s="187"/>
      <c r="P8" s="187"/>
      <c r="Q8" s="187"/>
      <c r="R8" s="187"/>
      <c r="S8" s="187"/>
      <c r="T8" s="187"/>
      <c r="U8" s="187"/>
      <c r="V8" s="187"/>
      <c r="W8" s="187"/>
      <c r="X8" s="187"/>
      <c r="Y8" s="187"/>
      <c r="Z8" s="187"/>
      <c r="AE8" s="2" t="s">
        <v>84</v>
      </c>
      <c r="AF8" s="161">
        <f>'Form 2G - Design'!AE8</f>
        <v>0</v>
      </c>
      <c r="AG8" s="161"/>
      <c r="AH8" s="161"/>
      <c r="AI8" s="161"/>
      <c r="AJ8" s="161"/>
      <c r="AK8" s="161"/>
      <c r="AS8" s="38">
        <v>1</v>
      </c>
      <c r="AT8" s="14" t="s">
        <v>38</v>
      </c>
      <c r="BC8" s="29"/>
      <c r="BD8" s="29"/>
      <c r="BE8" s="29"/>
      <c r="BF8" s="29"/>
      <c r="BG8" s="29"/>
      <c r="BH8" s="29"/>
      <c r="BI8" s="29"/>
      <c r="BJ8" s="29"/>
      <c r="BK8" s="29"/>
      <c r="BL8" s="29"/>
      <c r="BM8" s="29"/>
      <c r="BN8" s="29"/>
      <c r="BO8" s="29"/>
      <c r="BP8" s="29"/>
      <c r="BQ8" s="29"/>
      <c r="BR8" s="29"/>
      <c r="BS8" s="29"/>
      <c r="BT8" s="29"/>
      <c r="BU8" s="29"/>
      <c r="BV8" s="29"/>
      <c r="BW8" s="29"/>
      <c r="BX8" s="29"/>
      <c r="BY8" s="29"/>
      <c r="BZ8" s="29"/>
    </row>
    <row r="9" spans="1:82" ht="4.95" customHeight="1" x14ac:dyDescent="0.3">
      <c r="F9" s="2"/>
      <c r="G9" s="2"/>
      <c r="H9" s="2"/>
      <c r="I9" s="2"/>
      <c r="J9" s="2"/>
      <c r="BU9" s="29"/>
      <c r="BV9" s="29"/>
      <c r="BW9" s="29"/>
      <c r="BX9" s="29"/>
      <c r="BY9" s="29"/>
      <c r="BZ9" s="29"/>
    </row>
    <row r="10" spans="1:82" ht="15" customHeight="1" x14ac:dyDescent="0.3">
      <c r="B10" s="4" t="s">
        <v>57</v>
      </c>
      <c r="F10" s="2"/>
      <c r="G10" s="112"/>
      <c r="H10" s="4" t="s">
        <v>54</v>
      </c>
      <c r="I10" s="2"/>
      <c r="N10" s="112"/>
      <c r="O10" s="4" t="s">
        <v>55</v>
      </c>
      <c r="X10" s="112"/>
      <c r="Y10" s="4" t="str">
        <f>Tables!F24</f>
        <v xml:space="preserve"> O&amp;M Plan</v>
      </c>
      <c r="AE10" s="112"/>
      <c r="AF10" s="4" t="s">
        <v>82</v>
      </c>
      <c r="AT10" s="6" t="s">
        <v>39</v>
      </c>
      <c r="AU10" s="14" t="s">
        <v>357</v>
      </c>
      <c r="AW10" s="14"/>
      <c r="AX10" s="14"/>
      <c r="AY10" s="14"/>
      <c r="AZ10" s="14"/>
      <c r="BA10" s="14"/>
      <c r="BB10" s="14"/>
      <c r="BC10"/>
      <c r="BD10"/>
      <c r="BE10"/>
      <c r="BF10"/>
      <c r="BG10"/>
      <c r="BH10"/>
      <c r="BI10"/>
      <c r="BJ10"/>
      <c r="BK10"/>
      <c r="BL10"/>
      <c r="BM10"/>
      <c r="BN10"/>
      <c r="BO10"/>
      <c r="BP10"/>
      <c r="BQ10"/>
      <c r="BR10"/>
      <c r="BS10"/>
      <c r="BT10"/>
      <c r="BU10" s="29"/>
      <c r="BV10" s="29"/>
      <c r="BW10" s="29"/>
      <c r="BX10" s="29"/>
      <c r="BY10" s="29"/>
      <c r="BZ10" s="29"/>
    </row>
    <row r="11" spans="1:82" ht="15" customHeight="1" x14ac:dyDescent="0.3">
      <c r="AT11" s="6" t="s">
        <v>40</v>
      </c>
      <c r="AU11" s="14" t="s">
        <v>358</v>
      </c>
      <c r="AX11" s="14"/>
      <c r="AY11" s="14"/>
      <c r="AZ11" s="14"/>
      <c r="BA11" s="14"/>
      <c r="BB11" s="14"/>
      <c r="BC11"/>
      <c r="BD11"/>
      <c r="BE11"/>
      <c r="BF11"/>
      <c r="BG11"/>
      <c r="BH11"/>
      <c r="BI11"/>
      <c r="BJ11"/>
      <c r="BK11"/>
      <c r="BL11"/>
      <c r="BM11"/>
      <c r="BN11"/>
      <c r="BO11"/>
      <c r="BP11"/>
      <c r="BQ11"/>
      <c r="BR11"/>
      <c r="BS11"/>
      <c r="BT11"/>
      <c r="BU11" s="29"/>
      <c r="BV11" s="29"/>
      <c r="BW11" s="29"/>
      <c r="BX11" s="29"/>
      <c r="BY11" s="29"/>
      <c r="BZ11" s="29"/>
    </row>
    <row r="12" spans="1:82" ht="15" customHeight="1" x14ac:dyDescent="0.3">
      <c r="A12" s="181" t="s">
        <v>270</v>
      </c>
      <c r="B12" s="181"/>
      <c r="C12" s="181"/>
      <c r="D12" s="181"/>
      <c r="E12" s="181"/>
      <c r="F12" s="181"/>
      <c r="G12" s="181"/>
      <c r="H12" s="181"/>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81"/>
      <c r="AH12" s="181"/>
      <c r="AI12" s="181"/>
      <c r="AJ12" s="181"/>
      <c r="AK12" s="181"/>
      <c r="AL12" s="181"/>
      <c r="AM12" s="63"/>
      <c r="AN12" s="63"/>
      <c r="AS12" s="38">
        <f>AS8+1</f>
        <v>2</v>
      </c>
      <c r="AT12" s="14" t="s">
        <v>41</v>
      </c>
      <c r="AW12" s="14"/>
      <c r="AX12" s="14"/>
      <c r="AY12" s="14"/>
      <c r="AZ12" s="14"/>
      <c r="BA12" s="14"/>
      <c r="BB12" s="14"/>
      <c r="BC12"/>
      <c r="BD12"/>
      <c r="BE12"/>
      <c r="BF12"/>
      <c r="BG12"/>
      <c r="BH12"/>
      <c r="BI12"/>
      <c r="BJ12"/>
      <c r="BK12"/>
      <c r="BL12"/>
      <c r="BM12"/>
      <c r="BN12"/>
      <c r="BO12"/>
      <c r="BP12"/>
      <c r="BQ12"/>
      <c r="BR12"/>
      <c r="BS12"/>
      <c r="BT12"/>
      <c r="BU12" s="29"/>
      <c r="BV12" s="29"/>
      <c r="BW12" s="29"/>
      <c r="BX12" s="29"/>
      <c r="BY12" s="29"/>
      <c r="BZ12" s="29"/>
    </row>
    <row r="13" spans="1:82" ht="15" customHeight="1" x14ac:dyDescent="0.3">
      <c r="B13" s="1" t="s">
        <v>23</v>
      </c>
      <c r="C13" s="1"/>
      <c r="D13" s="1"/>
      <c r="E13" s="1"/>
      <c r="J13" s="1"/>
      <c r="K13" s="1"/>
      <c r="L13" s="1"/>
      <c r="M13" s="1"/>
      <c r="N13" s="1"/>
      <c r="O13" s="1"/>
      <c r="P13" s="1"/>
      <c r="Q13" s="1"/>
      <c r="R13" s="1"/>
      <c r="S13" s="125"/>
      <c r="U13" s="126" t="s">
        <v>24</v>
      </c>
      <c r="W13" s="1"/>
      <c r="X13" s="1"/>
      <c r="AB13" s="1"/>
      <c r="AC13" s="1"/>
      <c r="AD13" s="1"/>
      <c r="AE13" s="1"/>
      <c r="AF13" s="1"/>
      <c r="AG13" s="1"/>
      <c r="AH13" s="1"/>
      <c r="AI13" s="1"/>
      <c r="AJ13" s="1"/>
      <c r="AK13" s="1"/>
      <c r="AL13" s="1"/>
      <c r="AO13" s="118" t="s">
        <v>330</v>
      </c>
      <c r="AP13" s="117" t="str">
        <f>IF(AH21&gt;0,"Yes","No")</f>
        <v>No</v>
      </c>
      <c r="AQ13" s="34"/>
      <c r="AT13" s="6" t="s">
        <v>39</v>
      </c>
      <c r="AU13" s="14" t="s">
        <v>359</v>
      </c>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row>
    <row r="14" spans="1:82" ht="15" customHeight="1" x14ac:dyDescent="0.3">
      <c r="B14" s="2"/>
      <c r="E14" s="2" t="s">
        <v>118</v>
      </c>
      <c r="F14" s="188">
        <f>'Form 2G - Design'!F38</f>
        <v>0</v>
      </c>
      <c r="G14" s="188"/>
      <c r="H14" s="188"/>
      <c r="I14" s="188"/>
      <c r="N14" s="2" t="s">
        <v>121</v>
      </c>
      <c r="O14" s="175">
        <f>'Form 2G - Design'!F40</f>
        <v>0</v>
      </c>
      <c r="P14" s="175"/>
      <c r="Q14" s="175"/>
      <c r="R14" s="175"/>
      <c r="S14" s="127"/>
      <c r="X14" s="2" t="s">
        <v>118</v>
      </c>
      <c r="Y14" s="151"/>
      <c r="Z14" s="151"/>
      <c r="AA14" s="151"/>
      <c r="AB14" s="151"/>
      <c r="AG14" s="2" t="s">
        <v>121</v>
      </c>
      <c r="AH14" s="194"/>
      <c r="AI14" s="194"/>
      <c r="AJ14" s="194"/>
      <c r="AK14" s="194"/>
      <c r="AO14" s="118" t="s">
        <v>308</v>
      </c>
      <c r="AP14" s="117" t="str">
        <f>IF(Y22-AH22&lt;0.25,"Yes","No")</f>
        <v>Yes</v>
      </c>
      <c r="AQ14" s="34"/>
      <c r="AS14" s="4"/>
      <c r="AT14" s="6" t="s">
        <v>40</v>
      </c>
      <c r="AU14" s="14" t="s">
        <v>45</v>
      </c>
      <c r="BC14" s="29"/>
      <c r="BD14" s="29"/>
      <c r="BE14" s="29"/>
      <c r="BF14" s="29"/>
      <c r="BG14" s="29"/>
      <c r="BH14" s="29"/>
      <c r="BI14" s="29"/>
      <c r="BJ14" s="29"/>
      <c r="BK14" s="29"/>
      <c r="BL14" s="29"/>
      <c r="BM14" s="29"/>
      <c r="BN14" s="29"/>
      <c r="BO14" s="29"/>
      <c r="BP14" s="29"/>
      <c r="BQ14" s="29"/>
      <c r="BR14" s="29"/>
      <c r="BS14" s="29"/>
      <c r="BT14" s="29"/>
      <c r="BU14"/>
      <c r="BV14"/>
      <c r="BW14"/>
      <c r="BX14"/>
      <c r="BY14"/>
      <c r="BZ14"/>
      <c r="CA14" s="64"/>
      <c r="CB14" s="64"/>
      <c r="CC14" s="64"/>
    </row>
    <row r="15" spans="1:82" ht="15" customHeight="1" x14ac:dyDescent="0.3">
      <c r="B15" s="2"/>
      <c r="C15" s="2"/>
      <c r="E15" s="2" t="s">
        <v>122</v>
      </c>
      <c r="F15" s="182">
        <f>'Form 2G - Design'!N38</f>
        <v>0</v>
      </c>
      <c r="G15" s="182"/>
      <c r="H15" s="182"/>
      <c r="I15" s="4" t="s">
        <v>19</v>
      </c>
      <c r="J15" s="2"/>
      <c r="K15" s="2"/>
      <c r="N15" s="2" t="s">
        <v>188</v>
      </c>
      <c r="O15" s="182">
        <f>'Form 2G - Design'!N40</f>
        <v>0</v>
      </c>
      <c r="P15" s="182"/>
      <c r="Q15" s="182"/>
      <c r="R15" s="13" t="s">
        <v>19</v>
      </c>
      <c r="S15" s="127"/>
      <c r="V15" s="2"/>
      <c r="X15" s="2" t="s">
        <v>122</v>
      </c>
      <c r="Y15" s="180"/>
      <c r="Z15" s="180"/>
      <c r="AA15" s="180"/>
      <c r="AB15" s="4" t="s">
        <v>19</v>
      </c>
      <c r="AC15" s="2"/>
      <c r="AD15" s="2"/>
      <c r="AG15" s="2" t="s">
        <v>188</v>
      </c>
      <c r="AH15" s="180"/>
      <c r="AI15" s="180"/>
      <c r="AJ15" s="180"/>
      <c r="AK15" s="13" t="s">
        <v>19</v>
      </c>
      <c r="AO15" s="36" t="s">
        <v>130</v>
      </c>
      <c r="AP15" s="69">
        <f>'Form 2G - Design'!AP46</f>
        <v>4</v>
      </c>
      <c r="AQ15" s="34" t="s">
        <v>287</v>
      </c>
      <c r="AS15" s="4"/>
      <c r="AU15" s="58" t="s">
        <v>50</v>
      </c>
      <c r="AV15" s="14" t="s">
        <v>111</v>
      </c>
      <c r="BU15"/>
      <c r="BV15"/>
      <c r="BW15"/>
      <c r="BX15"/>
      <c r="BY15"/>
      <c r="BZ15"/>
      <c r="CA15" s="64"/>
      <c r="CB15" s="64"/>
      <c r="CC15" s="64"/>
    </row>
    <row r="16" spans="1:82" ht="15" customHeight="1" x14ac:dyDescent="0.3">
      <c r="B16" s="2"/>
      <c r="E16" s="2" t="s">
        <v>276</v>
      </c>
      <c r="F16" s="189">
        <f>'Form 2G - Design'!W40</f>
        <v>0</v>
      </c>
      <c r="G16" s="189"/>
      <c r="H16" s="189"/>
      <c r="I16" s="13" t="s">
        <v>19</v>
      </c>
      <c r="N16" s="2" t="s">
        <v>289</v>
      </c>
      <c r="O16" s="189">
        <f>'Form 2G - Design'!W38</f>
        <v>0</v>
      </c>
      <c r="P16" s="189"/>
      <c r="Q16" s="189"/>
      <c r="R16" s="4" t="s">
        <v>151</v>
      </c>
      <c r="S16" s="127"/>
      <c r="X16" s="2" t="s">
        <v>276</v>
      </c>
      <c r="Y16" s="195"/>
      <c r="Z16" s="195"/>
      <c r="AA16" s="195"/>
      <c r="AB16" s="13" t="s">
        <v>19</v>
      </c>
      <c r="AG16" s="2" t="s">
        <v>289</v>
      </c>
      <c r="AH16" s="195"/>
      <c r="AI16" s="195"/>
      <c r="AJ16" s="195"/>
      <c r="AK16" s="4" t="s">
        <v>151</v>
      </c>
      <c r="AO16" s="36" t="s">
        <v>331</v>
      </c>
      <c r="AP16" s="69" t="str">
        <f>IF(Y28&lt;3,"Yes","No")</f>
        <v>Yes</v>
      </c>
      <c r="AU16" s="58" t="s">
        <v>50</v>
      </c>
      <c r="AV16" s="14" t="s">
        <v>61</v>
      </c>
      <c r="AW16" s="14"/>
      <c r="AX16" s="14"/>
      <c r="AY16" s="14"/>
      <c r="AZ16" s="14"/>
      <c r="BA16" s="14"/>
      <c r="BB16" s="14"/>
      <c r="BC16"/>
      <c r="BD16"/>
      <c r="BE16"/>
      <c r="BF16"/>
      <c r="BG16"/>
      <c r="BH16"/>
      <c r="BI16"/>
      <c r="BJ16"/>
      <c r="BK16"/>
      <c r="BL16"/>
      <c r="BM16"/>
      <c r="BN16"/>
      <c r="BO16"/>
      <c r="BP16"/>
      <c r="BQ16"/>
      <c r="BR16"/>
      <c r="BS16"/>
      <c r="BT16"/>
      <c r="BU16"/>
      <c r="BV16"/>
      <c r="BW16"/>
      <c r="BX16"/>
      <c r="BY16"/>
      <c r="BZ16"/>
    </row>
    <row r="17" spans="1:78" ht="15" customHeight="1" x14ac:dyDescent="0.3">
      <c r="B17" s="2"/>
      <c r="E17" s="2" t="s">
        <v>277</v>
      </c>
      <c r="F17" s="179">
        <f>'Form 2G - Design'!AE40</f>
        <v>0</v>
      </c>
      <c r="G17" s="179"/>
      <c r="H17" s="179"/>
      <c r="I17" s="4" t="s">
        <v>302</v>
      </c>
      <c r="S17" s="127"/>
      <c r="X17" s="2" t="s">
        <v>277</v>
      </c>
      <c r="Y17" s="154"/>
      <c r="Z17" s="154"/>
      <c r="AA17" s="154"/>
      <c r="AB17" s="4" t="s">
        <v>302</v>
      </c>
      <c r="AO17" s="36" t="s">
        <v>309</v>
      </c>
      <c r="AP17" s="69" t="str">
        <f>IF(Y30&lt;3,"Yes","No")</f>
        <v>Yes</v>
      </c>
      <c r="AQ17" s="34"/>
      <c r="AU17" s="58" t="s">
        <v>50</v>
      </c>
      <c r="AV17" s="4" t="s">
        <v>82</v>
      </c>
      <c r="AX17" s="14"/>
      <c r="AY17" s="14"/>
      <c r="AZ17" s="14"/>
      <c r="BA17" s="14"/>
      <c r="BB17" s="14"/>
      <c r="BC17"/>
      <c r="BD17"/>
      <c r="BE17"/>
      <c r="BF17"/>
      <c r="BG17"/>
      <c r="BH17"/>
      <c r="BI17"/>
      <c r="BJ17"/>
      <c r="BK17"/>
      <c r="BL17"/>
      <c r="BM17"/>
      <c r="BN17"/>
      <c r="BO17"/>
      <c r="BP17"/>
      <c r="BQ17"/>
      <c r="BR17"/>
      <c r="BS17"/>
      <c r="BT17"/>
      <c r="BU17"/>
      <c r="BV17"/>
      <c r="BW17"/>
      <c r="BX17"/>
      <c r="BY17"/>
      <c r="BZ17"/>
    </row>
    <row r="18" spans="1:78" ht="15" customHeight="1" x14ac:dyDescent="0.3">
      <c r="B18" s="2"/>
      <c r="D18" s="2"/>
      <c r="E18" s="31"/>
      <c r="F18" s="31"/>
      <c r="G18" s="31"/>
      <c r="H18" s="31"/>
      <c r="I18" s="13"/>
      <c r="Q18" s="32"/>
      <c r="R18" s="32"/>
      <c r="S18" s="127"/>
      <c r="AE18" s="2"/>
      <c r="AF18" s="122"/>
      <c r="AG18" s="122"/>
      <c r="AH18" s="122"/>
      <c r="AI18" s="122"/>
      <c r="AO18" s="34" t="s">
        <v>312</v>
      </c>
      <c r="AP18" s="69">
        <f>'Form 2G - Design'!AP52</f>
        <v>2</v>
      </c>
      <c r="AQ18" s="34" t="s">
        <v>151</v>
      </c>
      <c r="AU18" s="58" t="s">
        <v>50</v>
      </c>
      <c r="AV18" s="4" t="str">
        <f>Tables!F24</f>
        <v xml:space="preserve"> O&amp;M Plan</v>
      </c>
      <c r="BU18"/>
      <c r="BV18"/>
      <c r="BW18"/>
      <c r="BX18"/>
      <c r="BY18"/>
      <c r="BZ18"/>
    </row>
    <row r="19" spans="1:78" ht="15" customHeight="1" x14ac:dyDescent="0.3">
      <c r="A19" s="181" t="s">
        <v>278</v>
      </c>
      <c r="B19" s="181"/>
      <c r="C19" s="181"/>
      <c r="D19" s="181"/>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O19" s="34" t="s">
        <v>305</v>
      </c>
      <c r="AP19" s="69">
        <f>'Form 2G - Design'!AP53</f>
        <v>6</v>
      </c>
      <c r="AQ19" s="34" t="s">
        <v>151</v>
      </c>
      <c r="AS19" s="38">
        <f>AS12+1</f>
        <v>3</v>
      </c>
      <c r="AT19" s="14" t="s">
        <v>174</v>
      </c>
      <c r="BC19" s="29"/>
      <c r="BD19" s="29"/>
      <c r="BE19" s="29"/>
      <c r="BF19" s="29"/>
      <c r="BG19" s="29"/>
      <c r="BH19" s="29"/>
      <c r="BI19" s="29"/>
      <c r="BJ19" s="29"/>
      <c r="BK19" s="29"/>
      <c r="BL19" s="29"/>
      <c r="BM19" s="29"/>
      <c r="BN19" s="29"/>
      <c r="BO19" s="29"/>
      <c r="BP19" s="29"/>
      <c r="BQ19" s="29"/>
      <c r="BR19" s="29"/>
      <c r="BS19" s="29"/>
      <c r="BT19" s="29"/>
      <c r="BU19"/>
      <c r="BV19"/>
      <c r="BW19"/>
      <c r="BX19"/>
      <c r="BY19"/>
      <c r="BZ19"/>
    </row>
    <row r="20" spans="1:78" ht="15" customHeight="1" x14ac:dyDescent="0.3">
      <c r="B20" s="1" t="s">
        <v>23</v>
      </c>
      <c r="C20" s="1"/>
      <c r="D20" s="1"/>
      <c r="E20" s="1"/>
      <c r="J20" s="1"/>
      <c r="K20" s="1"/>
      <c r="L20" s="1"/>
      <c r="M20" s="1"/>
      <c r="N20" s="1"/>
      <c r="O20" s="1"/>
      <c r="P20" s="1"/>
      <c r="Q20" s="1"/>
      <c r="R20" s="1"/>
      <c r="S20" s="125"/>
      <c r="U20" s="126" t="s">
        <v>24</v>
      </c>
      <c r="AO20" s="36" t="s">
        <v>318</v>
      </c>
      <c r="AP20" s="69">
        <f>IF(ISBLANK(AH28),1,IF(AH28&lt;AP18,2,IF(AH28&gt;AP19,3,1)))</f>
        <v>1</v>
      </c>
      <c r="AQ20" s="34"/>
      <c r="AT20" s="6" t="s">
        <v>39</v>
      </c>
      <c r="AU20" s="14" t="s">
        <v>144</v>
      </c>
      <c r="AX20" s="14"/>
      <c r="AY20" s="14"/>
      <c r="AZ20" s="14"/>
      <c r="BA20" s="14"/>
      <c r="BB20" s="14"/>
      <c r="BC20"/>
      <c r="BD20"/>
      <c r="BE20"/>
      <c r="BF20"/>
      <c r="BG20"/>
      <c r="BH20"/>
      <c r="BI20"/>
      <c r="BJ20"/>
      <c r="BK20"/>
      <c r="BL20"/>
      <c r="BM20"/>
      <c r="BN20"/>
      <c r="BO20"/>
      <c r="BP20"/>
      <c r="BQ20"/>
      <c r="BR20"/>
      <c r="BS20"/>
      <c r="BT20"/>
      <c r="BU20"/>
      <c r="BV20"/>
      <c r="BW20"/>
      <c r="BX20"/>
      <c r="BY20"/>
      <c r="BZ20"/>
    </row>
    <row r="21" spans="1:78" ht="15" customHeight="1" x14ac:dyDescent="0.3">
      <c r="E21" s="2" t="s">
        <v>122</v>
      </c>
      <c r="F21" s="182">
        <f>'Form 2G - Design'!F44</f>
        <v>0</v>
      </c>
      <c r="G21" s="182"/>
      <c r="H21" s="182"/>
      <c r="I21" s="4" t="s">
        <v>19</v>
      </c>
      <c r="J21" s="2"/>
      <c r="K21" s="2"/>
      <c r="N21" s="2" t="s">
        <v>285</v>
      </c>
      <c r="O21" s="182">
        <f>'Form 2G - Design'!M44</f>
        <v>0</v>
      </c>
      <c r="P21" s="182"/>
      <c r="Q21" s="182"/>
      <c r="R21" s="13" t="s">
        <v>151</v>
      </c>
      <c r="S21" s="128"/>
      <c r="X21" s="2" t="s">
        <v>122</v>
      </c>
      <c r="Y21" s="180"/>
      <c r="Z21" s="180"/>
      <c r="AA21" s="180"/>
      <c r="AB21" s="4" t="s">
        <v>19</v>
      </c>
      <c r="AC21" s="2"/>
      <c r="AD21" s="2"/>
      <c r="AG21" s="2" t="s">
        <v>285</v>
      </c>
      <c r="AH21" s="180"/>
      <c r="AI21" s="180"/>
      <c r="AJ21" s="180"/>
      <c r="AK21" s="13" t="s">
        <v>151</v>
      </c>
      <c r="AO21" s="36" t="s">
        <v>317</v>
      </c>
      <c r="AP21" s="69">
        <f>IF(ISBLANK(AH34),1,IF(AH34&lt;AP18,2,IF(AH34&gt;AP19,3,1)))</f>
        <v>1</v>
      </c>
      <c r="AQ21" s="34"/>
      <c r="AU21" s="14" t="s">
        <v>145</v>
      </c>
      <c r="AV21" s="14"/>
      <c r="AW21" s="14"/>
      <c r="AX21" s="14"/>
      <c r="AY21" s="14"/>
      <c r="AZ21" s="14"/>
      <c r="BA21" s="14"/>
      <c r="BB21" s="14"/>
      <c r="BC21"/>
      <c r="BD21"/>
      <c r="BE21"/>
      <c r="BF21"/>
      <c r="BG21"/>
      <c r="BH21"/>
      <c r="BI21"/>
      <c r="BJ21"/>
      <c r="BK21"/>
      <c r="BL21"/>
      <c r="BM21"/>
      <c r="BN21"/>
      <c r="BO21"/>
      <c r="BP21"/>
      <c r="BQ21"/>
      <c r="BR21"/>
      <c r="BS21"/>
      <c r="BT21"/>
      <c r="BU21"/>
      <c r="BV21"/>
      <c r="BW21"/>
      <c r="BX21"/>
      <c r="BY21"/>
      <c r="BZ21"/>
    </row>
    <row r="22" spans="1:78" ht="15" customHeight="1" x14ac:dyDescent="0.3">
      <c r="E22" s="2" t="s">
        <v>307</v>
      </c>
      <c r="F22" s="182">
        <f>'Form 2G - Design'!V44</f>
        <v>0</v>
      </c>
      <c r="G22" s="182"/>
      <c r="H22" s="182"/>
      <c r="I22" s="4" t="s">
        <v>19</v>
      </c>
      <c r="J22" s="2"/>
      <c r="K22" s="2"/>
      <c r="N22" s="2" t="s">
        <v>311</v>
      </c>
      <c r="O22" s="182">
        <f>'Form 2G - Design'!AG44</f>
        <v>0</v>
      </c>
      <c r="P22" s="182"/>
      <c r="Q22" s="182"/>
      <c r="R22" s="13" t="s">
        <v>19</v>
      </c>
      <c r="S22" s="128"/>
      <c r="X22" s="2" t="s">
        <v>307</v>
      </c>
      <c r="Y22" s="180"/>
      <c r="Z22" s="180"/>
      <c r="AA22" s="180"/>
      <c r="AB22" s="4" t="s">
        <v>19</v>
      </c>
      <c r="AC22" s="2"/>
      <c r="AD22" s="2"/>
      <c r="AG22" s="2" t="s">
        <v>311</v>
      </c>
      <c r="AH22" s="180"/>
      <c r="AI22" s="180"/>
      <c r="AJ22" s="180"/>
      <c r="AK22" s="13" t="s">
        <v>19</v>
      </c>
      <c r="AO22" s="36" t="s">
        <v>313</v>
      </c>
      <c r="AP22" s="69">
        <f>'Form 2G - Design'!AP57</f>
        <v>25</v>
      </c>
      <c r="AQ22" s="34" t="s">
        <v>19</v>
      </c>
      <c r="AT22" s="6" t="s">
        <v>40</v>
      </c>
      <c r="AU22" s="14" t="s">
        <v>43</v>
      </c>
      <c r="AW22" s="14"/>
      <c r="AX22" s="14"/>
      <c r="AY22" s="14"/>
      <c r="AZ22" s="14"/>
      <c r="BA22" s="14"/>
      <c r="BB22" s="14"/>
      <c r="BC22"/>
      <c r="BD22"/>
      <c r="BE22"/>
      <c r="BF22"/>
      <c r="BG22"/>
      <c r="BH22"/>
      <c r="BI22"/>
      <c r="BJ22"/>
      <c r="BK22"/>
      <c r="BL22"/>
      <c r="BM22"/>
      <c r="BN22"/>
      <c r="BO22"/>
      <c r="BP22"/>
      <c r="BQ22"/>
      <c r="BR22"/>
      <c r="BS22"/>
      <c r="BT22"/>
      <c r="BU22"/>
      <c r="BV22"/>
      <c r="BW22"/>
      <c r="BX22"/>
      <c r="BY22"/>
      <c r="BZ22"/>
    </row>
    <row r="23" spans="1:78" ht="15" customHeight="1" x14ac:dyDescent="0.3">
      <c r="C23" s="4" t="s">
        <v>301</v>
      </c>
      <c r="F23" s="6"/>
      <c r="G23" s="6"/>
      <c r="H23" s="6"/>
      <c r="I23" s="6"/>
      <c r="J23" s="6"/>
      <c r="L23" s="6"/>
      <c r="M23" s="6"/>
      <c r="N23" s="6"/>
      <c r="P23" s="6"/>
      <c r="Q23" s="6"/>
      <c r="R23" s="6"/>
      <c r="S23" s="128"/>
      <c r="V23" s="4" t="s">
        <v>301</v>
      </c>
      <c r="Y23" s="6"/>
      <c r="Z23" s="6"/>
      <c r="AA23" s="6"/>
      <c r="AB23" s="6"/>
      <c r="AC23" s="6"/>
      <c r="AE23" s="6"/>
      <c r="AF23" s="6"/>
      <c r="AG23" s="6"/>
      <c r="AI23" s="6"/>
      <c r="AJ23" s="6"/>
      <c r="AK23" s="6"/>
      <c r="AO23" s="36" t="s">
        <v>322</v>
      </c>
      <c r="AP23" s="69" t="str">
        <f>IF(Y34&lt;AP22,"Yes","No")</f>
        <v>Yes</v>
      </c>
      <c r="AT23" s="6" t="s">
        <v>48</v>
      </c>
      <c r="AU23" s="14" t="s">
        <v>368</v>
      </c>
      <c r="AV23" s="14"/>
      <c r="AW23" s="14"/>
      <c r="AX23" s="14"/>
      <c r="AY23" s="14"/>
      <c r="AZ23" s="14"/>
      <c r="BA23" s="14"/>
      <c r="BB23" s="14"/>
      <c r="BC23"/>
      <c r="BD23"/>
      <c r="BE23"/>
      <c r="BF23"/>
      <c r="BG23"/>
      <c r="BH23"/>
      <c r="BI23"/>
      <c r="BJ23"/>
      <c r="BK23"/>
      <c r="BL23"/>
      <c r="BM23"/>
      <c r="BN23"/>
      <c r="BO23"/>
      <c r="BP23"/>
      <c r="BQ23"/>
      <c r="BR23"/>
      <c r="BS23"/>
      <c r="BT23"/>
      <c r="BU23" s="29"/>
      <c r="BV23" s="29"/>
      <c r="BW23" s="29"/>
      <c r="BX23" s="29"/>
      <c r="BY23" s="29"/>
      <c r="BZ23" s="29"/>
    </row>
    <row r="24" spans="1:78" ht="15" customHeight="1" x14ac:dyDescent="0.3">
      <c r="E24" s="2" t="s">
        <v>188</v>
      </c>
      <c r="F24" s="182">
        <f>'Form 2G - Design'!M46</f>
        <v>0</v>
      </c>
      <c r="G24" s="182"/>
      <c r="H24" s="182"/>
      <c r="I24" s="4" t="s">
        <v>18</v>
      </c>
      <c r="J24" s="2"/>
      <c r="K24" s="2"/>
      <c r="N24" s="2" t="s">
        <v>286</v>
      </c>
      <c r="O24" s="182">
        <f>'Form 2G - Design'!V46</f>
        <v>0</v>
      </c>
      <c r="P24" s="182"/>
      <c r="Q24" s="182"/>
      <c r="R24" s="13" t="s">
        <v>287</v>
      </c>
      <c r="S24" s="128"/>
      <c r="X24" s="2" t="s">
        <v>188</v>
      </c>
      <c r="Y24" s="180"/>
      <c r="Z24" s="180"/>
      <c r="AA24" s="180"/>
      <c r="AB24" s="4" t="s">
        <v>18</v>
      </c>
      <c r="AC24" s="2"/>
      <c r="AD24" s="2"/>
      <c r="AG24" s="2" t="s">
        <v>286</v>
      </c>
      <c r="AH24" s="180"/>
      <c r="AI24" s="180"/>
      <c r="AJ24" s="180"/>
      <c r="AK24" s="13" t="s">
        <v>287</v>
      </c>
      <c r="AU24" s="14" t="s">
        <v>367</v>
      </c>
      <c r="AV24" s="14"/>
      <c r="AW24" s="14"/>
      <c r="AX24" s="14"/>
      <c r="AY24" s="14"/>
      <c r="AZ24" s="14"/>
      <c r="BA24" s="14"/>
      <c r="BB24" s="14"/>
      <c r="BC24"/>
      <c r="BD24"/>
      <c r="BE24"/>
      <c r="BF24"/>
      <c r="BG24"/>
      <c r="BH24"/>
      <c r="BI24"/>
      <c r="BJ24"/>
      <c r="BK24"/>
      <c r="BL24"/>
      <c r="BM24"/>
      <c r="BN24"/>
      <c r="BO24"/>
      <c r="BP24"/>
      <c r="BQ24"/>
      <c r="BR24"/>
      <c r="BS24"/>
      <c r="BT24"/>
      <c r="BU24" s="29"/>
      <c r="BV24" s="29"/>
      <c r="BW24" s="29"/>
      <c r="BX24" s="29"/>
      <c r="BY24" s="29"/>
      <c r="BZ24" s="29"/>
    </row>
    <row r="25" spans="1:78" ht="15" customHeight="1" x14ac:dyDescent="0.3">
      <c r="F25" s="6"/>
      <c r="G25" s="6"/>
      <c r="H25" s="6"/>
      <c r="I25" s="6"/>
      <c r="J25" s="6"/>
      <c r="L25" s="6"/>
      <c r="M25" s="6"/>
      <c r="N25" s="6"/>
      <c r="P25" s="6"/>
      <c r="Q25" s="6"/>
      <c r="R25" s="6"/>
      <c r="S25" s="128"/>
      <c r="AT25" s="6" t="s">
        <v>49</v>
      </c>
      <c r="AU25" s="14" t="s">
        <v>369</v>
      </c>
      <c r="AV25" s="66"/>
      <c r="AW25" s="66"/>
      <c r="AX25" s="66"/>
      <c r="AY25" s="66"/>
      <c r="AZ25" s="66"/>
      <c r="BA25" s="66"/>
      <c r="BB25" s="66"/>
      <c r="BC25" s="65"/>
      <c r="BD25" s="65"/>
      <c r="BE25" s="65"/>
      <c r="BF25" s="65"/>
      <c r="BG25" s="65"/>
      <c r="BH25" s="65"/>
      <c r="BI25" s="65"/>
      <c r="BJ25" s="65"/>
      <c r="BK25" s="65"/>
      <c r="BL25" s="65"/>
      <c r="BM25" s="65"/>
      <c r="BN25" s="65"/>
      <c r="BO25" s="65"/>
      <c r="BP25" s="65"/>
      <c r="BQ25" s="65"/>
      <c r="BR25" s="65"/>
      <c r="BS25" s="65"/>
      <c r="BT25" s="65"/>
      <c r="BU25" s="29"/>
      <c r="BV25" s="29"/>
      <c r="BW25" s="29"/>
      <c r="BX25" s="29"/>
      <c r="BY25" s="29"/>
      <c r="BZ25" s="29"/>
    </row>
    <row r="26" spans="1:78" ht="15" customHeight="1" x14ac:dyDescent="0.3">
      <c r="A26" s="181" t="s">
        <v>283</v>
      </c>
      <c r="B26" s="181"/>
      <c r="C26" s="18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T26" s="6" t="s">
        <v>47</v>
      </c>
      <c r="AU26" s="4" t="s">
        <v>173</v>
      </c>
      <c r="AY26" s="14"/>
      <c r="AZ26" s="14"/>
      <c r="BA26" s="14"/>
      <c r="BB26" s="14"/>
      <c r="BC26"/>
      <c r="BD26"/>
      <c r="BE26"/>
      <c r="BF26"/>
      <c r="BG26"/>
      <c r="BH26"/>
      <c r="BI26"/>
      <c r="BJ26"/>
      <c r="BK26"/>
      <c r="BL26"/>
      <c r="BM26"/>
      <c r="BN26"/>
      <c r="BO26"/>
      <c r="BP26"/>
      <c r="BQ26"/>
      <c r="BR26"/>
      <c r="BS26"/>
      <c r="BT26"/>
      <c r="BU26" s="29"/>
      <c r="BV26" s="29"/>
      <c r="BW26" s="29"/>
      <c r="BX26" s="29"/>
      <c r="BY26" s="29"/>
      <c r="BZ26" s="29"/>
    </row>
    <row r="27" spans="1:78" ht="15" customHeight="1" x14ac:dyDescent="0.3">
      <c r="B27" s="1" t="s">
        <v>23</v>
      </c>
      <c r="C27" s="1"/>
      <c r="D27" s="1"/>
      <c r="E27" s="1"/>
      <c r="J27" s="1"/>
      <c r="K27" s="1"/>
      <c r="L27" s="1"/>
      <c r="M27" s="1"/>
      <c r="N27" s="1"/>
      <c r="O27" s="1"/>
      <c r="P27" s="1"/>
      <c r="Q27" s="1"/>
      <c r="R27" s="1"/>
      <c r="S27" s="125"/>
      <c r="U27" s="126" t="s">
        <v>24</v>
      </c>
      <c r="AS27" s="38">
        <f>AS19+1</f>
        <v>4</v>
      </c>
      <c r="AT27" s="14" t="s">
        <v>37</v>
      </c>
      <c r="AV27" s="14"/>
      <c r="AW27" s="14"/>
      <c r="AX27" s="14"/>
      <c r="AY27" s="14"/>
      <c r="AZ27" s="14"/>
      <c r="BA27" s="14"/>
      <c r="BB27" s="14"/>
      <c r="BC27"/>
      <c r="BD27"/>
      <c r="BE27"/>
      <c r="BF27"/>
      <c r="BG27"/>
      <c r="BH27"/>
      <c r="BI27"/>
      <c r="BJ27"/>
      <c r="BK27"/>
      <c r="BL27"/>
      <c r="BM27"/>
      <c r="BN27"/>
      <c r="BO27"/>
      <c r="BP27"/>
      <c r="BQ27"/>
      <c r="BR27"/>
      <c r="BS27"/>
      <c r="BT27"/>
      <c r="BU27" s="29"/>
      <c r="BV27" s="29"/>
      <c r="BW27" s="29"/>
      <c r="BX27" s="29"/>
      <c r="BY27" s="29"/>
      <c r="BZ27" s="29"/>
    </row>
    <row r="28" spans="1:78" ht="15" customHeight="1" x14ac:dyDescent="0.3">
      <c r="E28" s="2" t="s">
        <v>120</v>
      </c>
      <c r="F28" s="182">
        <f>'Form 2G - Design'!M48</f>
        <v>0</v>
      </c>
      <c r="G28" s="182"/>
      <c r="H28" s="182"/>
      <c r="I28" s="13" t="s">
        <v>19</v>
      </c>
      <c r="N28" s="2" t="s">
        <v>285</v>
      </c>
      <c r="O28" s="182">
        <f>'Form 2G - Design'!M50</f>
        <v>0</v>
      </c>
      <c r="P28" s="182"/>
      <c r="Q28" s="182"/>
      <c r="R28" s="4" t="s">
        <v>151</v>
      </c>
      <c r="S28" s="128"/>
      <c r="X28" s="2" t="s">
        <v>120</v>
      </c>
      <c r="Y28" s="180"/>
      <c r="Z28" s="180"/>
      <c r="AA28" s="180"/>
      <c r="AB28" s="13" t="s">
        <v>19</v>
      </c>
      <c r="AG28" s="2" t="s">
        <v>285</v>
      </c>
      <c r="AH28" s="180"/>
      <c r="AI28" s="180"/>
      <c r="AJ28" s="180"/>
      <c r="AK28" s="4" t="s">
        <v>151</v>
      </c>
      <c r="AQ28" s="34"/>
      <c r="AT28" s="6" t="s">
        <v>39</v>
      </c>
      <c r="AU28" s="4" t="s">
        <v>162</v>
      </c>
      <c r="AW28" s="14"/>
      <c r="AX28" s="14"/>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row>
    <row r="29" spans="1:78" ht="4.95" customHeight="1" x14ac:dyDescent="0.3">
      <c r="E29" s="2"/>
      <c r="F29" s="31"/>
      <c r="G29" s="31"/>
      <c r="H29" s="31"/>
      <c r="I29" s="13"/>
      <c r="N29" s="2"/>
      <c r="O29" s="31"/>
      <c r="P29" s="31"/>
      <c r="Q29" s="113"/>
      <c r="S29" s="128"/>
      <c r="X29" s="2"/>
      <c r="Y29" s="31"/>
      <c r="Z29" s="31"/>
      <c r="AA29" s="31"/>
      <c r="AB29" s="13"/>
      <c r="AG29" s="2"/>
      <c r="AH29" s="31"/>
      <c r="AI29" s="31"/>
      <c r="AJ29" s="113"/>
      <c r="AS29" s="4"/>
      <c r="AT29" s="6"/>
      <c r="AU29" s="14"/>
      <c r="AW29" s="14"/>
      <c r="AX29" s="14"/>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row>
    <row r="30" spans="1:78" ht="15" customHeight="1" x14ac:dyDescent="0.3">
      <c r="E30" s="2" t="s">
        <v>284</v>
      </c>
      <c r="F30" s="182">
        <f>'Form 2G - Design'!V48</f>
        <v>0</v>
      </c>
      <c r="G30" s="182"/>
      <c r="H30" s="182"/>
      <c r="I30" s="13" t="s">
        <v>18</v>
      </c>
      <c r="J30" s="6"/>
      <c r="L30" s="6"/>
      <c r="M30" s="2" t="s">
        <v>326</v>
      </c>
      <c r="N30" s="124">
        <f>'Form 2G - Design'!AF50</f>
        <v>0</v>
      </c>
      <c r="O30" s="4" t="s">
        <v>58</v>
      </c>
      <c r="Q30" s="124">
        <f>'Form 2G - Design'!AI50</f>
        <v>0</v>
      </c>
      <c r="R30" s="4" t="s">
        <v>59</v>
      </c>
      <c r="S30" s="128"/>
      <c r="X30" s="2" t="s">
        <v>284</v>
      </c>
      <c r="Y30" s="180"/>
      <c r="Z30" s="180"/>
      <c r="AA30" s="180"/>
      <c r="AB30" s="13" t="s">
        <v>18</v>
      </c>
      <c r="AC30" s="6"/>
      <c r="AE30" s="6"/>
      <c r="AF30" s="2" t="s">
        <v>326</v>
      </c>
      <c r="AG30" s="112"/>
      <c r="AH30" s="4" t="s">
        <v>58</v>
      </c>
      <c r="AJ30" s="112"/>
      <c r="AK30" s="4" t="s">
        <v>59</v>
      </c>
      <c r="AM30" s="69">
        <f>IF(AND(ISBLANK(AG30),ISBLANK(AJ30)),1,2)</f>
        <v>1</v>
      </c>
      <c r="AN30" s="69">
        <f>IF(ISBLANK(AJ30),1,2)</f>
        <v>1</v>
      </c>
      <c r="AS30" s="38">
        <f>AS27+1</f>
        <v>5</v>
      </c>
      <c r="AT30" s="14" t="str">
        <f>"Form 3G – Level Spreader As-built Certification Form shall be approved by the "&amp;Tables!F23&amp;" prior to:"</f>
        <v>Form 3G – Level Spreader As-built Certification Form shall be approved by the County prior to:</v>
      </c>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row>
    <row r="31" spans="1:78" ht="15" customHeight="1" x14ac:dyDescent="0.3">
      <c r="F31" s="6"/>
      <c r="G31" s="6"/>
      <c r="H31" s="6"/>
      <c r="I31" s="6"/>
      <c r="J31" s="6"/>
      <c r="R31" s="6"/>
      <c r="S31" s="128"/>
      <c r="AT31" s="6" t="s">
        <v>39</v>
      </c>
      <c r="AU31" s="14" t="s">
        <v>46</v>
      </c>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row>
    <row r="32" spans="1:78" ht="15" customHeight="1" x14ac:dyDescent="0.3">
      <c r="A32" s="181" t="s">
        <v>314</v>
      </c>
      <c r="B32" s="181"/>
      <c r="C32" s="181"/>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c r="AK32" s="181"/>
      <c r="AL32" s="181"/>
      <c r="AT32" s="6" t="s">
        <v>40</v>
      </c>
      <c r="AU32" s="14" t="s">
        <v>44</v>
      </c>
      <c r="AV32" s="14"/>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row>
    <row r="33" spans="1:78" ht="15" customHeight="1" x14ac:dyDescent="0.3">
      <c r="B33" s="1" t="s">
        <v>23</v>
      </c>
      <c r="C33" s="1"/>
      <c r="D33" s="1"/>
      <c r="E33" s="1"/>
      <c r="J33" s="1"/>
      <c r="K33" s="1"/>
      <c r="L33" s="1"/>
      <c r="M33" s="1"/>
      <c r="N33" s="1"/>
      <c r="O33" s="1"/>
      <c r="P33" s="1"/>
      <c r="Q33" s="1"/>
      <c r="R33" s="1"/>
      <c r="S33" s="125"/>
      <c r="U33" s="126" t="s">
        <v>24</v>
      </c>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row>
    <row r="34" spans="1:78" ht="15" customHeight="1" x14ac:dyDescent="0.3">
      <c r="B34" s="2"/>
      <c r="E34" s="2" t="s">
        <v>120</v>
      </c>
      <c r="F34" s="182">
        <f>'Form 2G - Design'!M52</f>
        <v>0</v>
      </c>
      <c r="G34" s="182"/>
      <c r="H34" s="182"/>
      <c r="I34" s="13" t="s">
        <v>19</v>
      </c>
      <c r="N34" s="2" t="s">
        <v>285</v>
      </c>
      <c r="O34" s="182">
        <f>'Form 2G - Design'!V52</f>
        <v>0</v>
      </c>
      <c r="P34" s="182"/>
      <c r="Q34" s="182"/>
      <c r="R34" s="4" t="s">
        <v>151</v>
      </c>
      <c r="S34" s="128"/>
      <c r="X34" s="2" t="s">
        <v>120</v>
      </c>
      <c r="Y34" s="180"/>
      <c r="Z34" s="180"/>
      <c r="AA34" s="180"/>
      <c r="AB34" s="13" t="s">
        <v>19</v>
      </c>
      <c r="AG34" s="2" t="s">
        <v>285</v>
      </c>
      <c r="AH34" s="180"/>
      <c r="AI34" s="180"/>
      <c r="AJ34" s="180"/>
      <c r="AK34" s="4" t="s">
        <v>151</v>
      </c>
      <c r="AL34" s="11"/>
      <c r="BU34" s="29"/>
      <c r="BV34" s="29"/>
      <c r="BW34" s="29"/>
      <c r="BX34" s="29"/>
      <c r="BY34" s="29"/>
      <c r="BZ34" s="29"/>
    </row>
    <row r="35" spans="1:78" ht="15" customHeight="1" x14ac:dyDescent="0.3">
      <c r="B35" s="2"/>
      <c r="C35" s="2"/>
      <c r="D35" s="2"/>
      <c r="E35" s="2"/>
      <c r="K35" s="11"/>
      <c r="L35" s="11"/>
      <c r="M35" s="11"/>
      <c r="N35" s="11"/>
      <c r="P35" s="11"/>
      <c r="Q35" s="11"/>
      <c r="R35" s="11"/>
      <c r="S35" s="128"/>
      <c r="U35" s="11"/>
      <c r="V35" s="11"/>
      <c r="W35" s="11"/>
      <c r="X35" s="11"/>
      <c r="AF35" s="11"/>
      <c r="AG35" s="11"/>
      <c r="AH35" s="11"/>
      <c r="AI35" s="11"/>
      <c r="AK35" s="11"/>
      <c r="AL35" s="11"/>
      <c r="AT35" s="6"/>
      <c r="AV35" s="14"/>
      <c r="BU35" s="29"/>
      <c r="BV35" s="29"/>
      <c r="BW35" s="29"/>
      <c r="BX35" s="29"/>
      <c r="BY35" s="29"/>
      <c r="BZ35" s="29"/>
    </row>
    <row r="36" spans="1:78" s="8" customFormat="1" ht="15" customHeight="1" x14ac:dyDescent="0.3">
      <c r="A36" s="185" t="s">
        <v>294</v>
      </c>
      <c r="B36" s="185"/>
      <c r="C36" s="185"/>
      <c r="D36" s="185"/>
      <c r="E36" s="185"/>
      <c r="F36" s="185"/>
      <c r="G36" s="185"/>
      <c r="H36" s="185"/>
      <c r="I36" s="185"/>
      <c r="J36" s="185"/>
      <c r="K36" s="185"/>
      <c r="L36" s="185"/>
      <c r="M36" s="185"/>
      <c r="N36" s="185"/>
      <c r="O36" s="185"/>
      <c r="P36" s="185"/>
      <c r="Q36" s="185"/>
      <c r="R36" s="185"/>
      <c r="S36" s="185"/>
      <c r="T36" s="185"/>
      <c r="U36" s="185"/>
      <c r="V36" s="185"/>
      <c r="W36" s="185"/>
      <c r="X36" s="185"/>
      <c r="Y36" s="185"/>
      <c r="Z36" s="185"/>
      <c r="AA36" s="185"/>
      <c r="AB36" s="185"/>
      <c r="AC36" s="185"/>
      <c r="AD36" s="185"/>
      <c r="AE36" s="185"/>
      <c r="AF36" s="185"/>
      <c r="AG36" s="185"/>
      <c r="AH36" s="185"/>
      <c r="AI36" s="185"/>
      <c r="AJ36" s="185"/>
      <c r="AK36" s="185"/>
      <c r="AL36" s="185"/>
      <c r="AM36" s="62"/>
      <c r="AN36" s="62"/>
      <c r="AO36" s="62"/>
      <c r="AP36" s="62"/>
      <c r="AQ36" s="62"/>
      <c r="AV36" s="4"/>
      <c r="AW36" s="4"/>
      <c r="AX36" s="4"/>
      <c r="AY36" s="4"/>
      <c r="AZ36" s="4"/>
      <c r="BA36" s="4"/>
      <c r="BB36" s="4"/>
      <c r="BC36" s="29"/>
      <c r="BD36" s="29"/>
      <c r="BE36" s="29"/>
      <c r="BF36" s="29"/>
      <c r="BG36" s="29"/>
      <c r="BH36" s="29"/>
      <c r="BI36" s="29"/>
      <c r="BJ36" s="29"/>
      <c r="BK36" s="29"/>
      <c r="BL36" s="29"/>
      <c r="BM36" s="29"/>
      <c r="BN36" s="29"/>
      <c r="BO36" s="29"/>
      <c r="BP36" s="29"/>
      <c r="BQ36" s="29"/>
      <c r="BR36" s="29"/>
      <c r="BS36" s="29"/>
      <c r="BT36" s="29"/>
    </row>
    <row r="37" spans="1:78" ht="15" customHeight="1" x14ac:dyDescent="0.3">
      <c r="B37" s="1" t="s">
        <v>23</v>
      </c>
      <c r="D37" s="1"/>
      <c r="E37" s="1"/>
      <c r="F37" s="1"/>
      <c r="G37" s="1"/>
      <c r="Q37" s="61"/>
      <c r="R37" s="61"/>
      <c r="S37" s="128"/>
      <c r="T37" s="129"/>
      <c r="U37" s="1" t="s">
        <v>24</v>
      </c>
      <c r="W37" s="1"/>
      <c r="X37" s="1"/>
      <c r="AB37" s="1"/>
      <c r="AH37" s="9"/>
      <c r="AI37" s="9"/>
      <c r="AM37" s="69">
        <f>IF(ISBLANK(X38),0,1)</f>
        <v>0</v>
      </c>
      <c r="AN37" s="67" t="s">
        <v>74</v>
      </c>
      <c r="BC37" s="29"/>
      <c r="BD37" s="29"/>
      <c r="BE37" s="29"/>
      <c r="BF37" s="29"/>
      <c r="BG37" s="29"/>
      <c r="BH37" s="29"/>
      <c r="BI37" s="29"/>
      <c r="BJ37" s="29"/>
      <c r="BK37" s="29"/>
      <c r="BL37" s="29"/>
      <c r="BM37" s="29"/>
      <c r="BN37" s="29"/>
      <c r="BO37" s="29"/>
      <c r="BP37" s="29"/>
      <c r="BQ37" s="29"/>
      <c r="BR37" s="29"/>
      <c r="BS37" s="29"/>
      <c r="BT37" s="29"/>
    </row>
    <row r="38" spans="1:78" ht="15" customHeight="1" x14ac:dyDescent="0.3">
      <c r="B38" s="1"/>
      <c r="D38" s="9" t="s">
        <v>20</v>
      </c>
      <c r="E38" s="196">
        <f>'Form 2G - Design'!M54</f>
        <v>0</v>
      </c>
      <c r="F38" s="196"/>
      <c r="G38" s="196"/>
      <c r="H38" s="196"/>
      <c r="N38" s="2" t="s">
        <v>21</v>
      </c>
      <c r="O38" s="196">
        <f>'Form 2G - Design'!V54</f>
        <v>0</v>
      </c>
      <c r="P38" s="196"/>
      <c r="Q38" s="196"/>
      <c r="R38" s="196"/>
      <c r="S38" s="128"/>
      <c r="T38" s="130"/>
      <c r="U38" s="2"/>
      <c r="W38" s="9" t="s">
        <v>20</v>
      </c>
      <c r="X38" s="158"/>
      <c r="Y38" s="158"/>
      <c r="Z38" s="158"/>
      <c r="AA38" s="158"/>
      <c r="AG38" s="2" t="s">
        <v>21</v>
      </c>
      <c r="AH38" s="159"/>
      <c r="AI38" s="159"/>
      <c r="AJ38" s="159"/>
      <c r="AK38" s="159"/>
      <c r="AM38" s="69">
        <f>IF(ISBLANK(AH38),0,1)</f>
        <v>0</v>
      </c>
      <c r="AN38" s="67" t="s">
        <v>75</v>
      </c>
      <c r="BC38" s="29"/>
      <c r="BD38" s="29"/>
      <c r="BE38" s="29"/>
      <c r="BF38" s="29"/>
      <c r="BG38" s="29"/>
      <c r="BH38" s="29"/>
      <c r="BI38" s="29"/>
      <c r="BJ38" s="29"/>
      <c r="BK38" s="29"/>
      <c r="BL38" s="29"/>
      <c r="BM38" s="29"/>
      <c r="BN38" s="29"/>
      <c r="BO38" s="29"/>
      <c r="BP38" s="29"/>
      <c r="BQ38" s="29"/>
      <c r="BR38" s="29"/>
      <c r="BS38" s="29"/>
      <c r="BT38" s="29"/>
    </row>
    <row r="39" spans="1:78" ht="15" customHeight="1" x14ac:dyDescent="0.3">
      <c r="B39" s="1"/>
      <c r="C39" s="1"/>
      <c r="D39" s="1"/>
      <c r="E39" s="1"/>
      <c r="K39" s="2"/>
      <c r="L39" s="2"/>
      <c r="M39" s="2"/>
      <c r="S39" s="128"/>
      <c r="T39" s="12"/>
      <c r="Y39" s="2"/>
      <c r="Z39" s="2"/>
      <c r="AK39" s="12"/>
      <c r="AL39" s="12"/>
      <c r="AM39" s="69">
        <f>SUM(AM37:AM38)</f>
        <v>0</v>
      </c>
      <c r="AN39" s="67" t="s">
        <v>76</v>
      </c>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row>
    <row r="40" spans="1:78" ht="15" customHeight="1" x14ac:dyDescent="0.3">
      <c r="AM40" s="69">
        <f>IF(ISBLANK(X38),1,IF(ISTEXT(X38)=TRUE,3,2))</f>
        <v>1</v>
      </c>
      <c r="AN40" s="34" t="s">
        <v>167</v>
      </c>
      <c r="AS40" s="6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row>
    <row r="41" spans="1:78" ht="15" customHeight="1" x14ac:dyDescent="0.3">
      <c r="B41" s="8" t="s">
        <v>10</v>
      </c>
      <c r="C41" s="8"/>
      <c r="D41" s="8"/>
      <c r="E41" s="8"/>
      <c r="AM41" s="69">
        <f>IF(ISBLANK(AH38),1,IF(ISTEXT(AH38)=TRUE,3,2))</f>
        <v>1</v>
      </c>
      <c r="AN41" s="34" t="s">
        <v>168</v>
      </c>
      <c r="AS41" s="4"/>
    </row>
    <row r="42" spans="1:78" ht="15" customHeight="1" x14ac:dyDescent="0.3">
      <c r="B42" s="166"/>
      <c r="C42" s="167"/>
      <c r="D42" s="167"/>
      <c r="E42" s="167"/>
      <c r="F42" s="167"/>
      <c r="G42" s="167"/>
      <c r="H42" s="167"/>
      <c r="I42" s="167"/>
      <c r="J42" s="167"/>
      <c r="K42" s="167"/>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8"/>
      <c r="AM42" s="62"/>
      <c r="AN42" s="62"/>
      <c r="AS42" s="4"/>
    </row>
    <row r="43" spans="1:78" ht="15" customHeight="1" x14ac:dyDescent="0.3">
      <c r="B43" s="169"/>
      <c r="C43" s="170"/>
      <c r="D43" s="170"/>
      <c r="E43" s="170"/>
      <c r="F43" s="170"/>
      <c r="G43" s="170"/>
      <c r="H43" s="170"/>
      <c r="I43" s="170"/>
      <c r="J43" s="170"/>
      <c r="K43" s="170"/>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1"/>
      <c r="AM43" s="62"/>
      <c r="AN43" s="62"/>
      <c r="AS43" s="4"/>
    </row>
    <row r="44" spans="1:78" ht="15" customHeight="1" x14ac:dyDescent="0.3">
      <c r="B44" s="169"/>
      <c r="C44" s="170"/>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0"/>
      <c r="AC44" s="170"/>
      <c r="AD44" s="170"/>
      <c r="AE44" s="170"/>
      <c r="AF44" s="170"/>
      <c r="AG44" s="170"/>
      <c r="AH44" s="170"/>
      <c r="AI44" s="170"/>
      <c r="AJ44" s="170"/>
      <c r="AK44" s="171"/>
      <c r="AM44" s="62"/>
      <c r="AN44" s="62"/>
      <c r="AS44" s="4"/>
    </row>
    <row r="45" spans="1:78" ht="15" customHeight="1" x14ac:dyDescent="0.3">
      <c r="B45" s="169"/>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170"/>
      <c r="AC45" s="170"/>
      <c r="AD45" s="170"/>
      <c r="AE45" s="170"/>
      <c r="AF45" s="170"/>
      <c r="AG45" s="170"/>
      <c r="AH45" s="170"/>
      <c r="AI45" s="170"/>
      <c r="AJ45" s="170"/>
      <c r="AK45" s="171"/>
      <c r="AM45" s="62"/>
      <c r="AN45" s="62"/>
      <c r="AS45" s="4"/>
    </row>
    <row r="46" spans="1:78" ht="15" customHeight="1" x14ac:dyDescent="0.3">
      <c r="B46" s="169"/>
      <c r="C46" s="170"/>
      <c r="D46" s="170"/>
      <c r="E46" s="170"/>
      <c r="F46" s="170"/>
      <c r="G46" s="170"/>
      <c r="H46" s="170"/>
      <c r="I46" s="170"/>
      <c r="J46" s="170"/>
      <c r="K46" s="170"/>
      <c r="L46" s="170"/>
      <c r="M46" s="170"/>
      <c r="N46" s="170"/>
      <c r="O46" s="170"/>
      <c r="P46" s="170"/>
      <c r="Q46" s="170"/>
      <c r="R46" s="170"/>
      <c r="S46" s="170"/>
      <c r="T46" s="170"/>
      <c r="U46" s="170"/>
      <c r="V46" s="170"/>
      <c r="W46" s="170"/>
      <c r="X46" s="170"/>
      <c r="Y46" s="170"/>
      <c r="Z46" s="170"/>
      <c r="AA46" s="170"/>
      <c r="AB46" s="170"/>
      <c r="AC46" s="170"/>
      <c r="AD46" s="170"/>
      <c r="AE46" s="170"/>
      <c r="AF46" s="170"/>
      <c r="AG46" s="170"/>
      <c r="AH46" s="170"/>
      <c r="AI46" s="170"/>
      <c r="AJ46" s="170"/>
      <c r="AK46" s="171"/>
      <c r="AM46" s="62"/>
      <c r="AN46" s="62"/>
      <c r="AS46" s="4"/>
    </row>
    <row r="47" spans="1:78" ht="15" customHeight="1" x14ac:dyDescent="0.3">
      <c r="B47" s="169"/>
      <c r="C47" s="170"/>
      <c r="D47" s="170"/>
      <c r="E47" s="170"/>
      <c r="F47" s="170"/>
      <c r="G47" s="170"/>
      <c r="H47" s="170"/>
      <c r="I47" s="170"/>
      <c r="J47" s="170"/>
      <c r="K47" s="170"/>
      <c r="L47" s="170"/>
      <c r="M47" s="170"/>
      <c r="N47" s="170"/>
      <c r="O47" s="170"/>
      <c r="P47" s="170"/>
      <c r="Q47" s="170"/>
      <c r="R47" s="170"/>
      <c r="S47" s="170"/>
      <c r="T47" s="170"/>
      <c r="U47" s="170"/>
      <c r="V47" s="170"/>
      <c r="W47" s="170"/>
      <c r="X47" s="170"/>
      <c r="Y47" s="170"/>
      <c r="Z47" s="170"/>
      <c r="AA47" s="170"/>
      <c r="AB47" s="170"/>
      <c r="AC47" s="170"/>
      <c r="AD47" s="170"/>
      <c r="AE47" s="170"/>
      <c r="AF47" s="170"/>
      <c r="AG47" s="170"/>
      <c r="AH47" s="170"/>
      <c r="AI47" s="170"/>
      <c r="AJ47" s="170"/>
      <c r="AK47" s="171"/>
      <c r="AM47" s="62"/>
      <c r="AN47" s="62"/>
      <c r="AS47" s="4"/>
    </row>
    <row r="48" spans="1:78" ht="15" customHeight="1" x14ac:dyDescent="0.3">
      <c r="B48" s="172"/>
      <c r="C48" s="173"/>
      <c r="D48" s="173"/>
      <c r="E48" s="173"/>
      <c r="F48" s="173"/>
      <c r="G48" s="173"/>
      <c r="H48" s="173"/>
      <c r="I48" s="173"/>
      <c r="J48" s="173"/>
      <c r="K48" s="173"/>
      <c r="L48" s="173"/>
      <c r="M48" s="173"/>
      <c r="N48" s="173"/>
      <c r="O48" s="173"/>
      <c r="P48" s="173"/>
      <c r="Q48" s="173"/>
      <c r="R48" s="173"/>
      <c r="S48" s="173"/>
      <c r="T48" s="173"/>
      <c r="U48" s="173"/>
      <c r="V48" s="173"/>
      <c r="W48" s="173"/>
      <c r="X48" s="173"/>
      <c r="Y48" s="173"/>
      <c r="Z48" s="173"/>
      <c r="AA48" s="173"/>
      <c r="AB48" s="173"/>
      <c r="AC48" s="173"/>
      <c r="AD48" s="173"/>
      <c r="AE48" s="173"/>
      <c r="AF48" s="173"/>
      <c r="AG48" s="173"/>
      <c r="AH48" s="173"/>
      <c r="AI48" s="173"/>
      <c r="AJ48" s="173"/>
      <c r="AK48" s="174"/>
      <c r="AM48" s="62"/>
      <c r="AN48" s="62"/>
      <c r="AS48" s="4"/>
    </row>
    <row r="49" spans="2:45" ht="15" customHeight="1" x14ac:dyDescent="0.3">
      <c r="AM49" s="62"/>
      <c r="AN49" s="62"/>
      <c r="AS49" s="4"/>
    </row>
    <row r="50" spans="2:45" ht="15" customHeight="1" x14ac:dyDescent="0.3">
      <c r="AS50" s="4"/>
    </row>
    <row r="51" spans="2:45" ht="15" customHeight="1" x14ac:dyDescent="0.3">
      <c r="B51" s="177">
        <f>Tables!$F$13</f>
        <v>46266</v>
      </c>
      <c r="C51" s="177"/>
      <c r="D51" s="177"/>
      <c r="E51" s="177"/>
      <c r="F51" s="177"/>
      <c r="G51" s="177"/>
      <c r="H51" s="177"/>
      <c r="I51" s="59"/>
      <c r="R51" s="165" t="s">
        <v>327</v>
      </c>
      <c r="S51" s="165"/>
      <c r="T51" s="165"/>
      <c r="U51" s="165"/>
      <c r="AS51" s="4"/>
    </row>
    <row r="52" spans="2:45" ht="15" customHeight="1" x14ac:dyDescent="0.3">
      <c r="C52" s="2" t="s">
        <v>1</v>
      </c>
      <c r="D52" s="175">
        <f>IF(ISBLANK($E$7),"",$E$7)</f>
        <v>0</v>
      </c>
      <c r="E52" s="175"/>
      <c r="F52" s="175"/>
      <c r="G52" s="175"/>
      <c r="H52" s="175"/>
      <c r="I52" s="175"/>
      <c r="J52" s="175"/>
      <c r="K52" s="175"/>
      <c r="L52" s="175"/>
      <c r="M52" s="175"/>
      <c r="N52" s="175"/>
      <c r="O52" s="175"/>
      <c r="P52" s="175"/>
      <c r="Q52" s="175"/>
      <c r="R52" s="175"/>
      <c r="S52" s="175"/>
      <c r="T52" s="175"/>
      <c r="U52" s="175"/>
      <c r="V52" s="175"/>
      <c r="W52" s="175"/>
      <c r="X52" s="175"/>
      <c r="Y52" s="175"/>
      <c r="Z52" s="175"/>
      <c r="AF52" s="2" t="s">
        <v>9</v>
      </c>
      <c r="AG52" s="155">
        <f>IF(ISBLANK($AF$7),0,$AF$7)</f>
        <v>0</v>
      </c>
      <c r="AH52" s="155"/>
      <c r="AI52" s="155"/>
      <c r="AJ52" s="155"/>
      <c r="AK52" s="155"/>
    </row>
    <row r="53" spans="2:45" ht="15" customHeight="1" x14ac:dyDescent="0.3">
      <c r="F53" s="3"/>
      <c r="G53" s="3"/>
      <c r="H53" s="3"/>
      <c r="I53" s="3"/>
      <c r="J53" s="3"/>
      <c r="K53" s="2"/>
      <c r="L53" s="2"/>
      <c r="M53" s="2"/>
      <c r="N53" s="2"/>
      <c r="O53" s="3"/>
      <c r="P53" s="7"/>
      <c r="Q53" s="7"/>
      <c r="R53" s="7"/>
      <c r="S53" s="7"/>
      <c r="T53" s="7"/>
      <c r="U53" s="7"/>
      <c r="V53" s="7"/>
      <c r="W53" s="7"/>
      <c r="X53" s="7"/>
      <c r="Y53" s="7"/>
      <c r="Z53" s="7"/>
      <c r="AA53" s="7"/>
      <c r="AB53" s="7"/>
      <c r="AC53" s="7"/>
      <c r="AD53" s="7"/>
      <c r="AE53" s="7"/>
      <c r="AF53" s="2" t="s">
        <v>16</v>
      </c>
      <c r="AG53" s="161">
        <f>IF(ISBLANK($AF$8),"",$AF$8)</f>
        <v>0</v>
      </c>
      <c r="AH53" s="161"/>
      <c r="AI53" s="161"/>
      <c r="AJ53" s="161"/>
      <c r="AK53" s="161"/>
    </row>
    <row r="54" spans="2:45" ht="15" customHeight="1" x14ac:dyDescent="0.3">
      <c r="B54" s="1" t="s">
        <v>62</v>
      </c>
      <c r="C54" s="1"/>
      <c r="D54" s="1"/>
      <c r="E54" s="1"/>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row>
    <row r="55" spans="2:45" ht="15" customHeight="1" x14ac:dyDescent="0.3">
      <c r="B55" s="1"/>
      <c r="C55" s="1"/>
      <c r="D55" s="1"/>
      <c r="E55" s="2" t="s">
        <v>88</v>
      </c>
      <c r="F55" s="151"/>
      <c r="G55" s="151"/>
      <c r="H55" s="151"/>
      <c r="I55" s="151"/>
      <c r="J55" s="151"/>
      <c r="K55" s="151"/>
      <c r="L55" s="151"/>
      <c r="M55" s="151"/>
      <c r="N55" s="151"/>
      <c r="O55" s="151"/>
      <c r="P55" s="151"/>
      <c r="Q55" s="151"/>
      <c r="R55" s="151"/>
      <c r="S55" s="151"/>
      <c r="T55" s="151"/>
      <c r="U55" s="151"/>
      <c r="V55" s="151"/>
      <c r="W55" s="6"/>
      <c r="X55" s="6"/>
      <c r="Y55" s="6"/>
      <c r="Z55" s="6"/>
      <c r="AA55" s="6"/>
      <c r="AB55" s="6"/>
      <c r="AC55" s="6"/>
      <c r="AD55" s="6"/>
      <c r="AE55" s="6"/>
      <c r="AF55" s="6"/>
      <c r="AG55" s="6"/>
      <c r="AH55" s="6"/>
      <c r="AI55" s="6"/>
      <c r="AJ55" s="6"/>
      <c r="AK55" s="6"/>
      <c r="AL55" s="6"/>
    </row>
    <row r="56" spans="2:45" ht="15" customHeight="1" x14ac:dyDescent="0.3">
      <c r="C56" s="2"/>
      <c r="D56" s="2"/>
      <c r="E56" s="2" t="s">
        <v>65</v>
      </c>
      <c r="F56" s="152"/>
      <c r="G56" s="152"/>
      <c r="H56" s="152"/>
      <c r="I56" s="152"/>
      <c r="J56" s="152"/>
      <c r="K56" s="152"/>
      <c r="L56" s="152"/>
      <c r="M56" s="152"/>
      <c r="N56" s="152"/>
      <c r="O56" s="152"/>
      <c r="P56" s="152"/>
      <c r="Q56" s="152"/>
      <c r="R56" s="152"/>
      <c r="S56" s="152"/>
      <c r="T56" s="152"/>
      <c r="U56" s="152"/>
      <c r="V56" s="152"/>
      <c r="W56" s="6"/>
      <c r="X56" s="6"/>
      <c r="Y56" s="6"/>
      <c r="Z56" s="6"/>
      <c r="AA56" s="6"/>
      <c r="AB56" s="6"/>
      <c r="AC56" s="6"/>
      <c r="AD56" s="6"/>
      <c r="AE56" s="6"/>
      <c r="AF56" s="6"/>
      <c r="AG56" s="6"/>
      <c r="AH56" s="6"/>
      <c r="AI56" s="6"/>
      <c r="AJ56" s="6"/>
      <c r="AK56" s="6"/>
      <c r="AL56" s="6"/>
    </row>
    <row r="57" spans="2:45" ht="15" customHeight="1" x14ac:dyDescent="0.3">
      <c r="C57" s="2"/>
      <c r="D57" s="2"/>
      <c r="E57" s="2" t="s">
        <v>116</v>
      </c>
      <c r="F57" s="152"/>
      <c r="G57" s="152"/>
      <c r="H57" s="152"/>
      <c r="I57" s="152"/>
      <c r="J57" s="152"/>
      <c r="K57" s="152"/>
      <c r="L57" s="152"/>
      <c r="M57" s="152"/>
      <c r="N57" s="152"/>
      <c r="O57" s="152"/>
      <c r="P57" s="152"/>
      <c r="Q57" s="152"/>
      <c r="R57" s="152"/>
      <c r="S57" s="152"/>
      <c r="T57" s="152"/>
      <c r="U57" s="152"/>
      <c r="V57" s="152"/>
      <c r="Y57" s="2" t="s">
        <v>68</v>
      </c>
      <c r="Z57" s="183"/>
      <c r="AA57" s="183"/>
      <c r="AB57" s="183"/>
      <c r="AC57" s="183"/>
      <c r="AD57" s="2"/>
      <c r="AG57" s="2" t="s">
        <v>69</v>
      </c>
      <c r="AH57" s="199"/>
      <c r="AI57" s="199"/>
      <c r="AJ57" s="199"/>
      <c r="AK57" s="199"/>
      <c r="AL57" s="2"/>
    </row>
    <row r="58" spans="2:45" ht="15" customHeight="1" x14ac:dyDescent="0.3">
      <c r="C58" s="2"/>
      <c r="D58" s="2"/>
      <c r="E58" s="2" t="s">
        <v>138</v>
      </c>
      <c r="F58" s="152"/>
      <c r="G58" s="152"/>
      <c r="H58" s="152"/>
      <c r="I58" s="152"/>
      <c r="J58" s="152"/>
      <c r="K58" s="152"/>
      <c r="L58" s="152"/>
      <c r="M58" s="152"/>
      <c r="N58" s="152"/>
      <c r="O58" s="152"/>
      <c r="P58" s="152"/>
      <c r="Q58" s="152"/>
      <c r="R58" s="152"/>
      <c r="S58" s="152"/>
      <c r="T58" s="152"/>
      <c r="U58" s="152"/>
      <c r="V58" s="152"/>
      <c r="Y58" s="2" t="s">
        <v>71</v>
      </c>
      <c r="Z58" s="151"/>
      <c r="AA58" s="151"/>
      <c r="AB58" s="151"/>
      <c r="AC58" s="151"/>
      <c r="AD58" s="151"/>
      <c r="AE58" s="151"/>
      <c r="AF58" s="151"/>
      <c r="AG58" s="151"/>
      <c r="AH58" s="151"/>
      <c r="AI58" s="151"/>
      <c r="AJ58" s="151"/>
      <c r="AK58" s="151"/>
      <c r="AL58" s="2"/>
    </row>
    <row r="59" spans="2:45" ht="15" customHeight="1" x14ac:dyDescent="0.3">
      <c r="C59" s="2"/>
      <c r="D59" s="2"/>
      <c r="E59" s="2" t="s">
        <v>66</v>
      </c>
      <c r="F59" s="186"/>
      <c r="G59" s="186"/>
      <c r="H59" s="186"/>
      <c r="I59" s="186"/>
      <c r="J59" s="186"/>
      <c r="K59" s="186"/>
      <c r="L59" s="186"/>
      <c r="M59" s="186"/>
      <c r="N59" s="186"/>
      <c r="O59" s="186"/>
      <c r="P59" s="186"/>
      <c r="Q59" s="186"/>
      <c r="R59" s="186"/>
      <c r="S59" s="186"/>
      <c r="T59" s="186"/>
      <c r="U59" s="186"/>
      <c r="V59" s="186"/>
      <c r="Y59" s="33"/>
      <c r="Z59" s="33"/>
      <c r="AA59" s="33"/>
      <c r="AB59" s="33"/>
      <c r="AC59" s="33"/>
      <c r="AF59" s="2" t="s">
        <v>70</v>
      </c>
      <c r="AG59" s="191"/>
      <c r="AH59" s="191"/>
      <c r="AI59" s="191"/>
      <c r="AJ59" s="191"/>
      <c r="AK59" s="191"/>
    </row>
    <row r="60" spans="2:45" ht="4.95" customHeight="1" x14ac:dyDescent="0.3">
      <c r="B60" s="2"/>
      <c r="C60" s="2"/>
      <c r="D60" s="2"/>
      <c r="E60" s="2"/>
      <c r="F60" s="40"/>
      <c r="G60" s="40"/>
      <c r="H60" s="40"/>
      <c r="I60" s="40"/>
      <c r="J60" s="40"/>
      <c r="K60" s="40"/>
      <c r="L60" s="40"/>
      <c r="M60" s="40"/>
      <c r="N60" s="40"/>
      <c r="O60" s="40"/>
      <c r="P60" s="40"/>
      <c r="Q60" s="40"/>
      <c r="R60" s="40"/>
      <c r="S60" s="40"/>
      <c r="T60" s="40"/>
      <c r="U60" s="40"/>
      <c r="V60" s="40"/>
      <c r="Y60" s="6"/>
      <c r="Z60" s="6"/>
      <c r="AA60" s="6"/>
      <c r="AB60" s="6"/>
      <c r="AC60" s="6"/>
      <c r="AD60" s="6"/>
      <c r="AI60" s="6"/>
      <c r="AJ60" s="2"/>
      <c r="AK60" s="6"/>
      <c r="AL60" s="6"/>
    </row>
    <row r="61" spans="2:45" ht="15" customHeight="1" x14ac:dyDescent="0.3">
      <c r="B61" s="1" t="s">
        <v>112</v>
      </c>
      <c r="C61" s="1"/>
      <c r="D61" s="1"/>
      <c r="E61" s="1"/>
      <c r="F61" s="6"/>
      <c r="G61" s="6"/>
      <c r="H61" s="6"/>
      <c r="I61" s="6"/>
      <c r="J61" s="6"/>
      <c r="K61" s="6"/>
      <c r="L61" s="6"/>
      <c r="M61" s="6"/>
      <c r="N61" s="6"/>
      <c r="O61" s="6"/>
      <c r="P61" s="6"/>
      <c r="Q61" s="6"/>
      <c r="R61" s="6"/>
      <c r="S61" s="6"/>
      <c r="T61" s="6"/>
      <c r="U61" s="6"/>
      <c r="V61" s="6"/>
      <c r="Z61" s="37"/>
      <c r="AA61" s="4" t="s">
        <v>63</v>
      </c>
      <c r="AB61" s="6"/>
      <c r="AC61" s="6"/>
      <c r="AI61" s="6"/>
      <c r="AM61" s="69">
        <f>IF(AND(ISBLANK(F62),ISBLANK(F63),ISBLANK(F64),ISBLANK(Z64),ISBLANK(AH64)),1,2)</f>
        <v>1</v>
      </c>
      <c r="AN61" s="69">
        <f>IF(ISBLANK(Z61),1,2)</f>
        <v>1</v>
      </c>
    </row>
    <row r="62" spans="2:45" ht="15" customHeight="1" x14ac:dyDescent="0.3">
      <c r="C62" s="2"/>
      <c r="D62" s="2"/>
      <c r="E62" s="2" t="s">
        <v>67</v>
      </c>
      <c r="F62" s="151"/>
      <c r="G62" s="151"/>
      <c r="H62" s="151"/>
      <c r="I62" s="151"/>
      <c r="J62" s="151"/>
      <c r="K62" s="151"/>
      <c r="L62" s="151"/>
      <c r="M62" s="151"/>
      <c r="N62" s="151"/>
      <c r="O62" s="151"/>
      <c r="P62" s="151"/>
      <c r="Q62" s="151"/>
      <c r="R62" s="151"/>
      <c r="S62" s="151"/>
      <c r="T62" s="151"/>
      <c r="U62" s="151"/>
      <c r="V62" s="151"/>
    </row>
    <row r="63" spans="2:45" ht="15" customHeight="1" x14ac:dyDescent="0.3">
      <c r="C63" s="2"/>
      <c r="D63" s="2"/>
      <c r="E63" s="2" t="s">
        <v>65</v>
      </c>
      <c r="F63" s="152"/>
      <c r="G63" s="152"/>
      <c r="H63" s="152"/>
      <c r="I63" s="152"/>
      <c r="J63" s="152"/>
      <c r="K63" s="152"/>
      <c r="L63" s="152"/>
      <c r="M63" s="152"/>
      <c r="N63" s="152"/>
      <c r="O63" s="152"/>
      <c r="P63" s="152"/>
      <c r="Q63" s="152"/>
      <c r="R63" s="152"/>
      <c r="S63" s="152"/>
      <c r="T63" s="152"/>
      <c r="U63" s="152"/>
      <c r="V63" s="152"/>
      <c r="AK63" s="6"/>
      <c r="AL63" s="6"/>
    </row>
    <row r="64" spans="2:45" ht="15" customHeight="1" x14ac:dyDescent="0.3">
      <c r="C64" s="2"/>
      <c r="D64" s="2"/>
      <c r="E64" s="2" t="s">
        <v>116</v>
      </c>
      <c r="F64" s="152"/>
      <c r="G64" s="152"/>
      <c r="H64" s="152"/>
      <c r="I64" s="152"/>
      <c r="J64" s="152"/>
      <c r="K64" s="152"/>
      <c r="L64" s="152"/>
      <c r="M64" s="152"/>
      <c r="N64" s="152"/>
      <c r="O64" s="152"/>
      <c r="P64" s="152"/>
      <c r="Q64" s="152"/>
      <c r="R64" s="152"/>
      <c r="S64" s="152"/>
      <c r="T64" s="152"/>
      <c r="U64" s="152"/>
      <c r="V64" s="152"/>
      <c r="Y64" s="2" t="s">
        <v>68</v>
      </c>
      <c r="Z64" s="183"/>
      <c r="AA64" s="183"/>
      <c r="AB64" s="183"/>
      <c r="AC64" s="183"/>
      <c r="AD64" s="2"/>
      <c r="AG64" s="2" t="s">
        <v>69</v>
      </c>
      <c r="AH64" s="199"/>
      <c r="AI64" s="199"/>
      <c r="AJ64" s="199"/>
      <c r="AK64" s="199"/>
      <c r="AL64" s="2"/>
    </row>
    <row r="65" spans="2:42" ht="15" customHeight="1" x14ac:dyDescent="0.3">
      <c r="C65" s="2"/>
      <c r="D65" s="2"/>
      <c r="E65" s="2" t="s">
        <v>138</v>
      </c>
      <c r="F65" s="151"/>
      <c r="G65" s="151"/>
      <c r="H65" s="151"/>
      <c r="I65" s="151"/>
      <c r="J65" s="151"/>
      <c r="K65" s="151"/>
      <c r="L65" s="151"/>
      <c r="M65" s="151"/>
      <c r="N65" s="151"/>
      <c r="O65" s="151"/>
      <c r="P65" s="151"/>
      <c r="Q65" s="151"/>
      <c r="R65" s="151"/>
      <c r="S65" s="151"/>
      <c r="T65" s="151"/>
      <c r="U65" s="151"/>
      <c r="V65" s="151"/>
      <c r="W65" s="6"/>
      <c r="X65" s="6"/>
      <c r="Y65" s="2" t="s">
        <v>71</v>
      </c>
      <c r="Z65" s="151"/>
      <c r="AA65" s="151"/>
      <c r="AB65" s="151"/>
      <c r="AC65" s="151"/>
      <c r="AD65" s="151"/>
      <c r="AE65" s="151"/>
      <c r="AF65" s="151"/>
      <c r="AG65" s="151"/>
      <c r="AH65" s="151"/>
      <c r="AI65" s="151"/>
      <c r="AJ65" s="151"/>
      <c r="AK65" s="151"/>
    </row>
    <row r="66" spans="2:42" ht="15" customHeight="1" x14ac:dyDescent="0.3">
      <c r="C66" s="2"/>
      <c r="D66" s="2"/>
      <c r="E66" s="2" t="s">
        <v>66</v>
      </c>
      <c r="F66" s="186"/>
      <c r="G66" s="186"/>
      <c r="H66" s="186"/>
      <c r="I66" s="186"/>
      <c r="J66" s="186"/>
      <c r="K66" s="186"/>
      <c r="L66" s="186"/>
      <c r="M66" s="186"/>
      <c r="N66" s="186"/>
      <c r="O66" s="186"/>
      <c r="P66" s="186"/>
      <c r="Q66" s="186"/>
      <c r="R66" s="186"/>
      <c r="S66" s="186"/>
      <c r="T66" s="186"/>
      <c r="U66" s="186"/>
      <c r="V66" s="186"/>
      <c r="AF66" s="2" t="s">
        <v>70</v>
      </c>
      <c r="AG66" s="190"/>
      <c r="AH66" s="190"/>
      <c r="AI66" s="190"/>
      <c r="AJ66" s="190"/>
      <c r="AK66" s="190"/>
    </row>
    <row r="67" spans="2:42" ht="15" customHeight="1" x14ac:dyDescent="0.3"/>
    <row r="68" spans="2:42" ht="15" customHeight="1" x14ac:dyDescent="0.3">
      <c r="B68" s="1" t="s">
        <v>42</v>
      </c>
      <c r="F68" s="3"/>
      <c r="G68" s="3"/>
      <c r="H68" s="3"/>
      <c r="I68" s="3"/>
      <c r="J68" s="3"/>
      <c r="K68" s="2"/>
      <c r="L68" s="2"/>
      <c r="M68" s="2"/>
      <c r="N68" s="2"/>
      <c r="O68" s="3"/>
      <c r="P68" s="7"/>
      <c r="Q68" s="7"/>
      <c r="R68" s="7"/>
      <c r="S68" s="7"/>
      <c r="T68" s="7"/>
      <c r="U68" s="7"/>
      <c r="V68" s="7"/>
      <c r="W68" s="7"/>
      <c r="X68" s="7"/>
      <c r="Y68" s="7"/>
      <c r="Z68" s="7"/>
      <c r="AA68" s="7"/>
      <c r="AB68" s="7"/>
      <c r="AC68" s="7"/>
      <c r="AD68" s="7"/>
      <c r="AE68" s="7"/>
      <c r="AF68" s="7"/>
      <c r="AG68" s="7"/>
      <c r="AH68" s="7"/>
      <c r="AI68" s="7"/>
      <c r="AJ68" s="7"/>
      <c r="AK68" s="7"/>
    </row>
    <row r="69" spans="2:42" ht="15" customHeight="1" x14ac:dyDescent="0.3">
      <c r="D69" s="4" t="s">
        <v>87</v>
      </c>
      <c r="F69" s="4" t="s">
        <v>73</v>
      </c>
      <c r="W69" s="165" t="s">
        <v>137</v>
      </c>
      <c r="X69" s="165"/>
      <c r="Y69" s="165"/>
      <c r="Z69" s="165"/>
      <c r="AB69" s="165" t="s">
        <v>136</v>
      </c>
      <c r="AC69" s="165"/>
      <c r="AD69" s="165"/>
      <c r="AE69" s="165"/>
      <c r="AF69" s="165"/>
      <c r="AG69" s="165"/>
      <c r="AH69" s="165"/>
      <c r="AM69" s="69">
        <f>SUM(AM73,AM75,AM77,AM79,AM81,AM83,AM85)</f>
        <v>7</v>
      </c>
      <c r="AN69" s="62"/>
      <c r="AP69" s="69">
        <f>SUM(AP73,AP75,AP77,AP79,AP81,AP83,AP85)</f>
        <v>0</v>
      </c>
    </row>
    <row r="70" spans="2:42" ht="4.95" customHeight="1" x14ac:dyDescent="0.3">
      <c r="AM70" s="62"/>
      <c r="AN70" s="62"/>
    </row>
    <row r="71" spans="2:42" ht="15" customHeight="1" x14ac:dyDescent="0.3">
      <c r="D71" s="112"/>
      <c r="F71" s="112"/>
      <c r="H71" s="4" t="s">
        <v>160</v>
      </c>
      <c r="AM71" s="69">
        <f>IF(AND(ISBLANK(D71),ISBLANK(F71)),1,2)</f>
        <v>1</v>
      </c>
      <c r="AN71" s="69">
        <f>IF(ISBLANK(F71),1,2)</f>
        <v>1</v>
      </c>
      <c r="AO71" s="69">
        <f>IF(ISBLANK(D71),1,2)</f>
        <v>1</v>
      </c>
      <c r="AP71" s="69">
        <f>IF(ISBLANK(F71),0,1)</f>
        <v>0</v>
      </c>
    </row>
    <row r="72" spans="2:42" ht="4.95" customHeight="1" x14ac:dyDescent="0.3">
      <c r="AM72" s="62"/>
      <c r="AN72" s="62"/>
    </row>
    <row r="73" spans="2:42" ht="15" customHeight="1" x14ac:dyDescent="0.3">
      <c r="D73" s="112"/>
      <c r="F73" s="112"/>
      <c r="H73" s="4" t="s">
        <v>352</v>
      </c>
      <c r="X73" s="183"/>
      <c r="Y73" s="183"/>
      <c r="AB73" s="184"/>
      <c r="AC73" s="184"/>
      <c r="AD73" s="184"/>
      <c r="AE73" s="184"/>
      <c r="AF73" s="184"/>
      <c r="AG73" s="184"/>
      <c r="AH73" s="184"/>
      <c r="AM73" s="69">
        <f>IF(AND(ISBLANK(D73),ISBLANK(F73)),1,2)</f>
        <v>1</v>
      </c>
      <c r="AN73" s="69">
        <f>IF(ISBLANK(F73),1,2)</f>
        <v>1</v>
      </c>
      <c r="AO73" s="69">
        <f>IF(ISBLANK(D73),1,2)</f>
        <v>1</v>
      </c>
      <c r="AP73" s="69">
        <f>IF(ISBLANK(F73),0,1)</f>
        <v>0</v>
      </c>
    </row>
    <row r="74" spans="2:42" ht="4.95" customHeight="1" x14ac:dyDescent="0.3">
      <c r="AM74" s="62"/>
      <c r="AN74" s="62"/>
    </row>
    <row r="75" spans="2:42" ht="15" customHeight="1" x14ac:dyDescent="0.3">
      <c r="D75" s="112"/>
      <c r="F75" s="112"/>
      <c r="H75" s="4" t="s">
        <v>353</v>
      </c>
      <c r="X75" s="183"/>
      <c r="Y75" s="183"/>
      <c r="AB75" s="184"/>
      <c r="AC75" s="184"/>
      <c r="AD75" s="184"/>
      <c r="AE75" s="184"/>
      <c r="AF75" s="184"/>
      <c r="AG75" s="184"/>
      <c r="AH75" s="184"/>
      <c r="AM75" s="69">
        <f>IF(AND(ISBLANK(D75),ISBLANK(F75)),1,2)</f>
        <v>1</v>
      </c>
      <c r="AN75" s="69">
        <f>IF(ISBLANK(F75),1,2)</f>
        <v>1</v>
      </c>
      <c r="AO75" s="69">
        <f>IF(ISBLANK(D75),1,2)</f>
        <v>1</v>
      </c>
      <c r="AP75" s="69">
        <f>IF(ISBLANK(F75),0,1)</f>
        <v>0</v>
      </c>
    </row>
    <row r="76" spans="2:42" ht="4.95" customHeight="1" x14ac:dyDescent="0.3">
      <c r="AM76" s="62"/>
      <c r="AN76" s="62"/>
    </row>
    <row r="77" spans="2:42" ht="15" customHeight="1" x14ac:dyDescent="0.3">
      <c r="D77" s="112"/>
      <c r="F77" s="112"/>
      <c r="H77" s="4" t="s">
        <v>354</v>
      </c>
      <c r="X77" s="183"/>
      <c r="Y77" s="183"/>
      <c r="AB77" s="184"/>
      <c r="AC77" s="184"/>
      <c r="AD77" s="184"/>
      <c r="AE77" s="184"/>
      <c r="AF77" s="184"/>
      <c r="AG77" s="184"/>
      <c r="AH77" s="184"/>
      <c r="AM77" s="69">
        <f>IF(AND(ISBLANK(D77),ISBLANK(F77)),1,2)</f>
        <v>1</v>
      </c>
      <c r="AN77" s="69">
        <f>IF(ISBLANK(F77),1,2)</f>
        <v>1</v>
      </c>
      <c r="AO77" s="69">
        <f>IF(ISBLANK(D77),1,2)</f>
        <v>1</v>
      </c>
      <c r="AP77" s="69">
        <f>IF(ISBLANK(F77),0,1)</f>
        <v>0</v>
      </c>
    </row>
    <row r="78" spans="2:42" ht="4.95" customHeight="1" x14ac:dyDescent="0.3">
      <c r="C78" s="3"/>
      <c r="D78" s="3"/>
      <c r="E78" s="3"/>
      <c r="F78" s="2"/>
      <c r="G78" s="2"/>
      <c r="J78" s="3"/>
      <c r="K78" s="7"/>
      <c r="L78" s="7"/>
      <c r="M78" s="7"/>
      <c r="N78" s="7"/>
      <c r="O78" s="7"/>
      <c r="P78" s="7"/>
      <c r="X78" s="7"/>
      <c r="Y78" s="7"/>
      <c r="Z78" s="7"/>
      <c r="AA78" s="7"/>
      <c r="AB78" s="7"/>
      <c r="AC78" s="7"/>
      <c r="AD78" s="7"/>
      <c r="AE78" s="7"/>
      <c r="AF78" s="7"/>
      <c r="AG78" s="7"/>
      <c r="AH78" s="7"/>
      <c r="AI78" s="7"/>
      <c r="AJ78" s="7"/>
      <c r="AK78" s="7"/>
    </row>
    <row r="79" spans="2:42" ht="15" customHeight="1" x14ac:dyDescent="0.3">
      <c r="C79" s="3"/>
      <c r="D79" s="112"/>
      <c r="F79" s="112"/>
      <c r="H79" s="4" t="s">
        <v>355</v>
      </c>
      <c r="X79" s="183"/>
      <c r="Y79" s="183"/>
      <c r="AB79" s="184"/>
      <c r="AC79" s="184"/>
      <c r="AD79" s="184"/>
      <c r="AE79" s="184"/>
      <c r="AF79" s="184"/>
      <c r="AG79" s="184"/>
      <c r="AH79" s="184"/>
      <c r="AM79" s="69">
        <f>IF(AND(ISBLANK(D79),ISBLANK(F79)),1,2)</f>
        <v>1</v>
      </c>
      <c r="AN79" s="69">
        <f>IF(ISBLANK(F79),1,2)</f>
        <v>1</v>
      </c>
      <c r="AO79" s="69">
        <f>IF(ISBLANK(D79),1,2)</f>
        <v>1</v>
      </c>
      <c r="AP79" s="69">
        <f>IF(ISBLANK(F79),0,1)</f>
        <v>0</v>
      </c>
    </row>
    <row r="80" spans="2:42" ht="4.95" customHeight="1" x14ac:dyDescent="0.3">
      <c r="F80" s="3"/>
      <c r="G80" s="3"/>
      <c r="I80" s="3"/>
      <c r="J80" s="3"/>
      <c r="K80" s="2"/>
      <c r="L80" s="2"/>
      <c r="M80" s="2"/>
      <c r="N80" s="2"/>
      <c r="O80" s="3"/>
      <c r="P80" s="7"/>
      <c r="Q80" s="7"/>
      <c r="R80" s="7"/>
      <c r="S80" s="7"/>
      <c r="T80" s="7"/>
      <c r="U80" s="7"/>
      <c r="V80" s="7"/>
      <c r="W80" s="7"/>
      <c r="X80" s="7"/>
      <c r="Y80" s="7"/>
      <c r="Z80" s="7"/>
      <c r="AA80" s="7"/>
      <c r="AB80" s="7"/>
      <c r="AC80" s="7"/>
      <c r="AD80" s="7"/>
      <c r="AE80" s="7"/>
      <c r="AF80" s="7"/>
      <c r="AG80" s="7"/>
      <c r="AH80" s="7"/>
      <c r="AI80" s="7"/>
      <c r="AJ80" s="7"/>
      <c r="AK80" s="7"/>
    </row>
    <row r="81" spans="2:42" ht="15" customHeight="1" x14ac:dyDescent="0.3">
      <c r="D81" s="112"/>
      <c r="F81" s="112"/>
      <c r="G81" s="3"/>
      <c r="H81" s="4" t="s">
        <v>356</v>
      </c>
      <c r="I81" s="3"/>
      <c r="J81" s="3"/>
      <c r="K81" s="2"/>
      <c r="L81" s="2"/>
      <c r="M81" s="2"/>
      <c r="N81" s="2"/>
      <c r="O81" s="3"/>
      <c r="P81" s="7"/>
      <c r="Q81" s="7"/>
      <c r="R81" s="7"/>
      <c r="S81" s="7"/>
      <c r="T81" s="7"/>
      <c r="U81" s="7"/>
      <c r="V81" s="7"/>
      <c r="W81" s="7"/>
      <c r="X81" s="183"/>
      <c r="Y81" s="183"/>
      <c r="AB81" s="184"/>
      <c r="AC81" s="184"/>
      <c r="AD81" s="184"/>
      <c r="AE81" s="184"/>
      <c r="AF81" s="184"/>
      <c r="AG81" s="184"/>
      <c r="AH81" s="184"/>
      <c r="AI81" s="7"/>
      <c r="AJ81" s="7"/>
      <c r="AK81" s="7"/>
      <c r="AM81" s="69">
        <f>IF(AND(ISBLANK(D81),ISBLANK(F81)),1,2)</f>
        <v>1</v>
      </c>
      <c r="AN81" s="69">
        <f>IF(ISBLANK(F81),1,2)</f>
        <v>1</v>
      </c>
      <c r="AO81" s="69">
        <f>IF(ISBLANK(D81),1,2)</f>
        <v>1</v>
      </c>
      <c r="AP81" s="69">
        <f>IF(ISBLANK(F81),0,1)</f>
        <v>0</v>
      </c>
    </row>
    <row r="82" spans="2:42" ht="4.95" customHeight="1" x14ac:dyDescent="0.3">
      <c r="F82" s="3"/>
      <c r="G82" s="3"/>
      <c r="H82" s="3"/>
      <c r="I82" s="3"/>
      <c r="J82" s="3"/>
      <c r="K82" s="2"/>
      <c r="L82" s="2"/>
      <c r="M82" s="2"/>
      <c r="N82" s="2"/>
      <c r="O82" s="3"/>
      <c r="P82" s="7"/>
      <c r="Q82" s="7"/>
      <c r="R82" s="7"/>
      <c r="S82" s="7"/>
      <c r="T82" s="7"/>
      <c r="U82" s="7"/>
      <c r="V82" s="7"/>
      <c r="W82" s="7"/>
      <c r="X82" s="7"/>
      <c r="Y82" s="7"/>
      <c r="Z82" s="7"/>
      <c r="AA82" s="7"/>
      <c r="AB82" s="7"/>
      <c r="AC82" s="7"/>
      <c r="AD82" s="7"/>
      <c r="AE82" s="7"/>
      <c r="AF82" s="7"/>
      <c r="AG82" s="7"/>
      <c r="AH82" s="7"/>
      <c r="AI82" s="7"/>
      <c r="AJ82" s="7"/>
      <c r="AK82" s="7"/>
    </row>
    <row r="83" spans="2:42" ht="15" customHeight="1" x14ac:dyDescent="0.3">
      <c r="D83" s="112"/>
      <c r="F83" s="112"/>
      <c r="G83" s="3"/>
      <c r="H83" s="4" t="s">
        <v>360</v>
      </c>
      <c r="I83" s="3"/>
      <c r="J83" s="3"/>
      <c r="K83" s="2"/>
      <c r="L83" s="2"/>
      <c r="M83" s="2"/>
      <c r="N83" s="2"/>
      <c r="O83" s="3"/>
      <c r="P83" s="7"/>
      <c r="Q83" s="7"/>
      <c r="R83" s="7"/>
      <c r="S83" s="7"/>
      <c r="T83" s="7"/>
      <c r="U83" s="7"/>
      <c r="V83" s="7"/>
      <c r="W83" s="7"/>
      <c r="X83" s="183"/>
      <c r="Y83" s="183"/>
      <c r="AB83" s="184"/>
      <c r="AC83" s="184"/>
      <c r="AD83" s="184"/>
      <c r="AE83" s="184"/>
      <c r="AF83" s="184"/>
      <c r="AG83" s="184"/>
      <c r="AH83" s="184"/>
      <c r="AI83" s="7"/>
      <c r="AJ83" s="7"/>
      <c r="AK83" s="7"/>
      <c r="AM83" s="69">
        <f>IF(AND(ISBLANK(D83),ISBLANK(F83)),1,2)</f>
        <v>1</v>
      </c>
      <c r="AN83" s="69">
        <f>IF(ISBLANK(F83),1,2)</f>
        <v>1</v>
      </c>
      <c r="AO83" s="69">
        <f>IF(ISBLANK(D83),1,2)</f>
        <v>1</v>
      </c>
      <c r="AP83" s="69">
        <f>IF(ISBLANK(F83),0,1)</f>
        <v>0</v>
      </c>
    </row>
    <row r="84" spans="2:42" ht="4.95" customHeight="1" x14ac:dyDescent="0.3">
      <c r="F84" s="3"/>
      <c r="G84" s="3"/>
      <c r="H84" s="3"/>
      <c r="I84" s="3"/>
      <c r="J84" s="3"/>
      <c r="K84" s="2"/>
      <c r="L84" s="2"/>
      <c r="M84" s="2"/>
      <c r="N84" s="2"/>
      <c r="O84" s="3"/>
      <c r="P84" s="7"/>
      <c r="Q84" s="7"/>
      <c r="R84" s="7"/>
      <c r="S84" s="7"/>
      <c r="T84" s="7"/>
      <c r="U84" s="7"/>
      <c r="V84" s="7"/>
      <c r="W84" s="7"/>
      <c r="X84" s="7"/>
      <c r="Y84" s="7"/>
      <c r="Z84" s="7"/>
      <c r="AA84" s="7"/>
      <c r="AB84" s="7"/>
      <c r="AC84" s="7"/>
      <c r="AD84" s="7"/>
      <c r="AE84" s="7"/>
      <c r="AF84" s="7"/>
      <c r="AG84" s="7"/>
      <c r="AH84" s="7"/>
      <c r="AI84" s="7"/>
      <c r="AJ84" s="7"/>
      <c r="AK84" s="7"/>
    </row>
    <row r="85" spans="2:42" ht="15" customHeight="1" x14ac:dyDescent="0.3">
      <c r="F85" s="3"/>
      <c r="G85" s="3"/>
      <c r="I85" s="3"/>
      <c r="J85" s="3"/>
      <c r="K85" s="2"/>
      <c r="L85" s="2"/>
      <c r="M85" s="2"/>
      <c r="N85" s="2"/>
      <c r="O85" s="3"/>
      <c r="P85" s="7"/>
      <c r="Q85" s="7"/>
      <c r="R85" s="7"/>
      <c r="S85" s="7"/>
      <c r="T85" s="7"/>
      <c r="U85" s="7"/>
      <c r="V85" s="7"/>
      <c r="W85" s="7"/>
      <c r="X85" s="7"/>
      <c r="Y85" s="7"/>
      <c r="Z85" s="7"/>
      <c r="AA85" s="7"/>
      <c r="AB85" s="7"/>
      <c r="AC85" s="7"/>
      <c r="AD85" s="7"/>
      <c r="AE85" s="7"/>
      <c r="AF85" s="7"/>
      <c r="AG85" s="7"/>
      <c r="AH85" s="7"/>
      <c r="AI85" s="7"/>
      <c r="AJ85" s="7"/>
      <c r="AK85" s="7"/>
      <c r="AM85" s="69">
        <f>IF(AND(ISBLANK(D85),ISBLANK(F85)),1,2)</f>
        <v>1</v>
      </c>
      <c r="AN85" s="69">
        <f>IF(ISBLANK(F85),1,2)</f>
        <v>1</v>
      </c>
      <c r="AO85" s="69">
        <f>IF(ISBLANK(D85),1,2)</f>
        <v>1</v>
      </c>
      <c r="AP85" s="69">
        <f>IF(ISBLANK(F85),0,1)</f>
        <v>0</v>
      </c>
    </row>
    <row r="86" spans="2:42" ht="15" customHeight="1" x14ac:dyDescent="0.3">
      <c r="B86" s="1" t="s">
        <v>8</v>
      </c>
      <c r="C86" s="1"/>
      <c r="D86" s="1"/>
      <c r="E86" s="1"/>
      <c r="F86" s="1"/>
      <c r="G86" s="1"/>
      <c r="H86" s="1"/>
      <c r="I86" s="1"/>
      <c r="J86" s="1"/>
    </row>
    <row r="87" spans="2:42" ht="15" customHeight="1" x14ac:dyDescent="0.3">
      <c r="B87" s="178" t="s">
        <v>325</v>
      </c>
      <c r="C87" s="178"/>
      <c r="D87" s="178"/>
      <c r="E87" s="178"/>
      <c r="F87" s="178"/>
      <c r="G87" s="178"/>
      <c r="H87" s="178"/>
      <c r="I87" s="178"/>
      <c r="J87" s="178"/>
      <c r="K87" s="178"/>
      <c r="L87" s="178"/>
      <c r="M87" s="178"/>
      <c r="N87" s="178"/>
      <c r="O87" s="178"/>
      <c r="P87" s="178"/>
      <c r="Q87" s="178"/>
      <c r="R87" s="178"/>
      <c r="S87" s="178"/>
      <c r="T87" s="178"/>
      <c r="U87" s="178"/>
      <c r="V87" s="178"/>
      <c r="W87" s="178"/>
      <c r="X87" s="178"/>
      <c r="Y87" s="178"/>
      <c r="Z87" s="178"/>
      <c r="AA87" s="178"/>
      <c r="AB87" s="178"/>
      <c r="AC87" s="178"/>
      <c r="AD87" s="178"/>
      <c r="AE87" s="178"/>
      <c r="AF87" s="178"/>
      <c r="AG87" s="178"/>
      <c r="AH87" s="178"/>
      <c r="AI87" s="178"/>
      <c r="AJ87" s="178"/>
    </row>
    <row r="88" spans="2:42" ht="15" customHeight="1" x14ac:dyDescent="0.3">
      <c r="B88" s="178"/>
      <c r="C88" s="178"/>
      <c r="D88" s="178"/>
      <c r="E88" s="178"/>
      <c r="F88" s="178"/>
      <c r="G88" s="178"/>
      <c r="H88" s="178"/>
      <c r="I88" s="178"/>
      <c r="J88" s="178"/>
      <c r="K88" s="178"/>
      <c r="L88" s="178"/>
      <c r="M88" s="178"/>
      <c r="N88" s="178"/>
      <c r="O88" s="178"/>
      <c r="P88" s="178"/>
      <c r="Q88" s="178"/>
      <c r="R88" s="178"/>
      <c r="S88" s="178"/>
      <c r="T88" s="178"/>
      <c r="U88" s="178"/>
      <c r="V88" s="178"/>
      <c r="W88" s="178"/>
      <c r="X88" s="178"/>
      <c r="Y88" s="178"/>
      <c r="Z88" s="178"/>
      <c r="AA88" s="178"/>
      <c r="AB88" s="178"/>
      <c r="AC88" s="178"/>
      <c r="AD88" s="178"/>
      <c r="AE88" s="178"/>
      <c r="AF88" s="178"/>
      <c r="AG88" s="178"/>
      <c r="AH88" s="178"/>
      <c r="AI88" s="178"/>
      <c r="AJ88" s="178"/>
    </row>
    <row r="89" spans="2:42" ht="15" customHeight="1" x14ac:dyDescent="0.3">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row>
    <row r="90" spans="2:42" ht="15" customHeight="1" x14ac:dyDescent="0.3">
      <c r="D90" s="2" t="s">
        <v>88</v>
      </c>
      <c r="E90" s="151"/>
      <c r="F90" s="151"/>
      <c r="G90" s="151"/>
      <c r="H90" s="151"/>
      <c r="I90" s="151"/>
      <c r="J90" s="151"/>
      <c r="K90" s="151"/>
      <c r="L90" s="151"/>
      <c r="M90" s="151"/>
      <c r="N90" s="151"/>
      <c r="O90" s="151"/>
      <c r="P90" s="151"/>
      <c r="Q90" s="151"/>
      <c r="R90" s="151"/>
      <c r="S90" s="151"/>
      <c r="T90" s="151"/>
      <c r="U90" s="151"/>
      <c r="V90" s="151"/>
      <c r="W90" s="151"/>
      <c r="X90" s="151"/>
      <c r="Y90" s="151"/>
      <c r="AB90" s="2" t="s">
        <v>126</v>
      </c>
      <c r="AC90" s="2"/>
      <c r="AD90" s="2"/>
      <c r="AE90" s="2"/>
    </row>
    <row r="91" spans="2:42" ht="15" customHeight="1" x14ac:dyDescent="0.3">
      <c r="D91" s="2" t="s">
        <v>64</v>
      </c>
      <c r="E91" s="152"/>
      <c r="F91" s="152"/>
      <c r="G91" s="152"/>
      <c r="H91" s="152"/>
      <c r="I91" s="152"/>
      <c r="J91" s="152"/>
      <c r="K91" s="152"/>
      <c r="L91" s="152"/>
      <c r="M91" s="152"/>
      <c r="N91" s="152"/>
      <c r="O91" s="152"/>
      <c r="P91" s="152"/>
      <c r="Q91" s="152"/>
      <c r="R91" s="152"/>
      <c r="S91" s="152"/>
      <c r="T91" s="152"/>
      <c r="U91" s="152"/>
      <c r="V91" s="152"/>
      <c r="W91" s="152"/>
      <c r="X91" s="152"/>
      <c r="Y91" s="152"/>
    </row>
    <row r="92" spans="2:42" ht="15" customHeight="1" x14ac:dyDescent="0.3">
      <c r="D92" s="2" t="s">
        <v>65</v>
      </c>
      <c r="E92" s="152"/>
      <c r="F92" s="152"/>
      <c r="G92" s="152"/>
      <c r="H92" s="152"/>
      <c r="I92" s="152"/>
      <c r="J92" s="152"/>
      <c r="K92" s="152"/>
      <c r="L92" s="152"/>
      <c r="M92" s="152"/>
      <c r="N92" s="152"/>
      <c r="O92" s="152"/>
      <c r="P92" s="152"/>
      <c r="Q92" s="152"/>
      <c r="R92" s="152"/>
      <c r="S92" s="152"/>
      <c r="T92" s="152"/>
      <c r="U92" s="152"/>
      <c r="V92" s="152"/>
      <c r="W92" s="152"/>
      <c r="X92" s="152"/>
      <c r="Y92" s="152"/>
    </row>
    <row r="93" spans="2:42" ht="15" customHeight="1" x14ac:dyDescent="0.3">
      <c r="D93" s="2" t="s">
        <v>116</v>
      </c>
      <c r="E93" s="152"/>
      <c r="F93" s="152"/>
      <c r="G93" s="152"/>
      <c r="H93" s="152"/>
      <c r="I93" s="152"/>
      <c r="J93" s="152"/>
      <c r="K93" s="152"/>
      <c r="L93" s="44"/>
      <c r="M93" s="44"/>
      <c r="N93" s="72" t="s">
        <v>68</v>
      </c>
      <c r="O93" s="152"/>
      <c r="P93" s="152"/>
      <c r="Q93" s="152"/>
      <c r="R93" s="152"/>
      <c r="S93" s="44"/>
      <c r="T93" s="44"/>
      <c r="U93" s="44"/>
      <c r="V93" s="72" t="s">
        <v>69</v>
      </c>
      <c r="W93" s="150"/>
      <c r="X93" s="150"/>
      <c r="Y93" s="150"/>
    </row>
    <row r="94" spans="2:42" ht="15" customHeight="1" x14ac:dyDescent="0.3">
      <c r="D94" s="2" t="s">
        <v>66</v>
      </c>
      <c r="E94" s="153"/>
      <c r="F94" s="153"/>
      <c r="G94" s="153"/>
      <c r="H94" s="153"/>
      <c r="I94" s="153"/>
      <c r="J94" s="153"/>
      <c r="K94" s="153"/>
      <c r="L94" s="153"/>
      <c r="M94" s="153"/>
      <c r="N94" s="153"/>
      <c r="O94" s="153"/>
      <c r="P94" s="153"/>
      <c r="Q94" s="153"/>
      <c r="R94" s="153"/>
      <c r="S94" s="153"/>
      <c r="T94" s="153"/>
      <c r="U94" s="153"/>
      <c r="V94" s="153"/>
      <c r="W94" s="153"/>
      <c r="X94" s="153"/>
      <c r="Y94" s="153"/>
    </row>
    <row r="95" spans="2:42" ht="15" customHeight="1" x14ac:dyDescent="0.3">
      <c r="D95" s="2" t="s">
        <v>70</v>
      </c>
      <c r="E95" s="149"/>
      <c r="F95" s="149"/>
      <c r="G95" s="149"/>
      <c r="H95" s="149"/>
      <c r="I95" s="149"/>
      <c r="U95" s="41"/>
      <c r="V95" s="41"/>
      <c r="W95" s="41"/>
    </row>
    <row r="96" spans="2:42" ht="15" customHeight="1" x14ac:dyDescent="0.3">
      <c r="D96" s="2"/>
      <c r="E96" s="44"/>
      <c r="F96" s="44"/>
      <c r="G96" s="44"/>
      <c r="H96" s="44"/>
      <c r="I96" s="44"/>
      <c r="U96" s="41"/>
      <c r="V96" s="41"/>
      <c r="W96" s="41"/>
    </row>
    <row r="97" spans="2:39" ht="15" customHeight="1" x14ac:dyDescent="0.3">
      <c r="D97" s="2" t="s">
        <v>89</v>
      </c>
      <c r="E97" s="55"/>
      <c r="F97" s="55"/>
      <c r="G97" s="55"/>
      <c r="H97" s="55"/>
      <c r="I97" s="55"/>
      <c r="J97" s="55"/>
      <c r="K97" s="55"/>
      <c r="L97" s="55"/>
      <c r="M97" s="55"/>
      <c r="N97" s="55"/>
      <c r="O97" s="55"/>
      <c r="P97" s="55"/>
      <c r="Q97" s="55"/>
      <c r="R97" s="55"/>
      <c r="S97" s="55"/>
      <c r="T97" s="55"/>
      <c r="U97" s="41"/>
      <c r="V97" s="41"/>
      <c r="W97" s="41"/>
      <c r="AB97" s="2" t="s">
        <v>83</v>
      </c>
      <c r="AC97" s="157"/>
      <c r="AD97" s="157"/>
      <c r="AE97" s="157"/>
      <c r="AF97" s="157"/>
      <c r="AG97" s="157"/>
    </row>
    <row r="98" spans="2:39" ht="15" customHeight="1" x14ac:dyDescent="0.3"/>
    <row r="99" spans="2:39" ht="15" customHeight="1" x14ac:dyDescent="0.3"/>
    <row r="100" spans="2:39" ht="15" customHeight="1" x14ac:dyDescent="0.3"/>
    <row r="101" spans="2:39" ht="15" customHeight="1" x14ac:dyDescent="0.3"/>
    <row r="102" spans="2:39" ht="15" customHeight="1" x14ac:dyDescent="0.3">
      <c r="B102" s="177">
        <f>Tables!$F$13</f>
        <v>46266</v>
      </c>
      <c r="C102" s="177"/>
      <c r="D102" s="177"/>
      <c r="E102" s="177"/>
      <c r="F102" s="177"/>
      <c r="G102" s="177"/>
      <c r="H102" s="177"/>
      <c r="I102" s="59"/>
      <c r="R102" s="4" t="s">
        <v>328</v>
      </c>
    </row>
    <row r="103" spans="2:39" ht="15" customHeight="1" x14ac:dyDescent="0.3">
      <c r="C103" s="2" t="s">
        <v>1</v>
      </c>
      <c r="D103" s="175">
        <f>IF(ISBLANK($E$7),"",$E$7)</f>
        <v>0</v>
      </c>
      <c r="E103" s="175"/>
      <c r="F103" s="175"/>
      <c r="G103" s="175"/>
      <c r="H103" s="175"/>
      <c r="I103" s="175"/>
      <c r="J103" s="175"/>
      <c r="K103" s="175"/>
      <c r="L103" s="175"/>
      <c r="M103" s="175"/>
      <c r="N103" s="175"/>
      <c r="O103" s="175"/>
      <c r="P103" s="175"/>
      <c r="Q103" s="175"/>
      <c r="R103" s="175"/>
      <c r="S103" s="175"/>
      <c r="T103" s="175"/>
      <c r="U103" s="175"/>
      <c r="V103" s="175"/>
      <c r="W103" s="175"/>
      <c r="X103" s="175"/>
      <c r="Y103" s="175"/>
      <c r="Z103" s="175"/>
      <c r="AF103" s="2" t="s">
        <v>9</v>
      </c>
      <c r="AG103" s="155">
        <f>IF(ISBLANK($AF$7),0,$AF$7)</f>
        <v>0</v>
      </c>
      <c r="AH103" s="155"/>
      <c r="AI103" s="155"/>
      <c r="AJ103" s="155"/>
      <c r="AK103" s="155"/>
    </row>
    <row r="104" spans="2:39" ht="15" customHeight="1" x14ac:dyDescent="0.3">
      <c r="F104" s="3"/>
      <c r="G104" s="3"/>
      <c r="H104" s="3"/>
      <c r="I104" s="3"/>
      <c r="J104" s="3"/>
      <c r="K104" s="2"/>
      <c r="L104" s="2"/>
      <c r="M104" s="2"/>
      <c r="N104" s="2"/>
      <c r="O104" s="3"/>
      <c r="P104" s="7"/>
      <c r="Q104" s="7"/>
      <c r="R104" s="7"/>
      <c r="S104" s="7"/>
      <c r="T104" s="7"/>
      <c r="U104" s="7"/>
      <c r="V104" s="7"/>
      <c r="W104" s="7"/>
      <c r="X104" s="7"/>
      <c r="Y104" s="7"/>
      <c r="Z104" s="7"/>
      <c r="AA104" s="7"/>
      <c r="AB104" s="7"/>
      <c r="AC104" s="7"/>
      <c r="AD104" s="7"/>
      <c r="AE104" s="7"/>
      <c r="AF104" s="2" t="s">
        <v>16</v>
      </c>
      <c r="AG104" s="161">
        <f>IF(ISBLANK($AF$8),"",$AF$8)</f>
        <v>0</v>
      </c>
      <c r="AH104" s="161"/>
      <c r="AI104" s="161"/>
      <c r="AJ104" s="161"/>
      <c r="AK104" s="161"/>
    </row>
    <row r="105" spans="2:39" ht="15" customHeight="1" x14ac:dyDescent="0.3"/>
    <row r="106" spans="2:39" ht="15" customHeight="1" x14ac:dyDescent="0.3">
      <c r="B106" s="16" t="s">
        <v>34</v>
      </c>
      <c r="C106" s="60"/>
      <c r="D106" s="60"/>
      <c r="E106" s="60"/>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31" t="s">
        <v>159</v>
      </c>
      <c r="AF106" s="192">
        <f>'Form 2G - Design'!AE7</f>
        <v>0</v>
      </c>
      <c r="AG106" s="192"/>
      <c r="AH106" s="192"/>
      <c r="AI106" s="192"/>
      <c r="AJ106" s="192"/>
      <c r="AK106" s="193"/>
      <c r="AL106" s="133"/>
      <c r="AM106" s="34" t="s">
        <v>127</v>
      </c>
    </row>
    <row r="107" spans="2:39" ht="15" customHeight="1" x14ac:dyDescent="0.3">
      <c r="B107" s="123"/>
      <c r="C107" s="121"/>
      <c r="D107" s="121"/>
      <c r="E107" s="121"/>
      <c r="F107" s="20"/>
      <c r="G107" s="20"/>
      <c r="H107" s="20"/>
      <c r="I107" s="20"/>
      <c r="J107" s="20"/>
      <c r="K107" s="27" t="s">
        <v>35</v>
      </c>
      <c r="L107" s="27"/>
      <c r="M107" s="28" t="s">
        <v>36</v>
      </c>
      <c r="N107" s="20"/>
      <c r="O107" s="20"/>
      <c r="P107" s="20"/>
      <c r="Q107" s="20"/>
      <c r="R107" s="20"/>
      <c r="S107" s="20"/>
      <c r="T107" s="20"/>
      <c r="U107" s="20"/>
      <c r="V107" s="20"/>
      <c r="W107" s="20"/>
      <c r="X107" s="20"/>
      <c r="Y107" s="20"/>
      <c r="Z107" s="20"/>
      <c r="AA107" s="20"/>
      <c r="AB107" s="20"/>
      <c r="AC107" s="20"/>
      <c r="AD107" s="20"/>
      <c r="AE107" s="20"/>
      <c r="AF107" s="20"/>
      <c r="AG107" s="20"/>
      <c r="AH107" s="20"/>
      <c r="AI107" s="17"/>
      <c r="AJ107" s="17"/>
      <c r="AK107" s="17"/>
      <c r="AL107" s="133"/>
      <c r="AM107" s="132">
        <f>SUM(AM108:AM119)</f>
        <v>12</v>
      </c>
    </row>
    <row r="108" spans="2:39" ht="15" customHeight="1" x14ac:dyDescent="0.3">
      <c r="B108" s="119"/>
      <c r="C108" s="60" t="s">
        <v>278</v>
      </c>
      <c r="D108" s="17"/>
      <c r="E108" s="17"/>
      <c r="F108" s="17"/>
      <c r="G108" s="17"/>
      <c r="H108" s="17"/>
      <c r="I108" s="17"/>
      <c r="J108" s="17"/>
      <c r="K108" s="120" t="s">
        <v>217</v>
      </c>
      <c r="L108" s="120"/>
      <c r="M108" s="17" t="str">
        <f>IF(ISBLANK(AH21),Tables!$J$5,IF(OR(AH21&lt;0,AH21&gt;0),Tables!$J$5,""))</f>
        <v>Level spreader slope is not 0%</v>
      </c>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33"/>
      <c r="AM108" s="132">
        <f>IF(M108="",0,1)</f>
        <v>1</v>
      </c>
    </row>
    <row r="109" spans="2:39" ht="15" customHeight="1" x14ac:dyDescent="0.3">
      <c r="B109" s="19"/>
      <c r="C109" s="20"/>
      <c r="D109" s="20"/>
      <c r="E109" s="20"/>
      <c r="F109" s="20"/>
      <c r="G109" s="20"/>
      <c r="H109" s="20"/>
      <c r="I109" s="20"/>
      <c r="J109" s="20"/>
      <c r="K109" s="22" t="s">
        <v>315</v>
      </c>
      <c r="L109" s="22"/>
      <c r="M109" s="20" t="str">
        <f>IF(ISBLANK(Y22),Tables!$J$6,IF(AP14="Yes",Tables!$J$6,""))</f>
        <v>The difference between the Lip EL and Toe Grade EL &lt; 3-in</v>
      </c>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133"/>
      <c r="AM109" s="132">
        <f>IF(M109="",0,1)</f>
        <v>1</v>
      </c>
    </row>
    <row r="110" spans="2:39" ht="15" customHeight="1" x14ac:dyDescent="0.3">
      <c r="B110" s="23"/>
      <c r="C110" s="24"/>
      <c r="D110" s="24"/>
      <c r="E110" s="24"/>
      <c r="F110" s="24"/>
      <c r="G110" s="24"/>
      <c r="H110" s="24"/>
      <c r="I110" s="24"/>
      <c r="J110" s="24"/>
      <c r="K110" s="25" t="s">
        <v>99</v>
      </c>
      <c r="L110" s="25"/>
      <c r="M110" s="24" t="str">
        <f>IF(ISBLANK(AH24),Tables!$J$7,IF(AH24&gt;AP15,Tables!$J$7,""))</f>
        <v>Velocity &gt; 4 ft/s</v>
      </c>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133"/>
      <c r="AM110" s="132">
        <f t="shared" ref="AM110:AM119" si="0">IF(M110="",0,1)</f>
        <v>1</v>
      </c>
    </row>
    <row r="111" spans="2:39" ht="15" customHeight="1" x14ac:dyDescent="0.3">
      <c r="B111" s="119"/>
      <c r="C111" s="60" t="s">
        <v>283</v>
      </c>
      <c r="D111" s="17"/>
      <c r="E111" s="17"/>
      <c r="F111" s="17"/>
      <c r="G111" s="17"/>
      <c r="H111" s="17"/>
      <c r="I111" s="17"/>
      <c r="J111" s="17"/>
      <c r="K111" s="120" t="s">
        <v>17</v>
      </c>
      <c r="L111" s="120"/>
      <c r="M111" s="17" t="str">
        <f>IF(ISBLANK(Y28),Tables!$J$8,IF(AP16="Yes",Tables!$J$8,""))</f>
        <v>Strip width &lt; 3-ft</v>
      </c>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33"/>
      <c r="AM111" s="132">
        <f t="shared" si="0"/>
        <v>1</v>
      </c>
    </row>
    <row r="112" spans="2:39" ht="15" customHeight="1" x14ac:dyDescent="0.3">
      <c r="B112" s="19"/>
      <c r="C112" s="20"/>
      <c r="D112" s="20"/>
      <c r="E112" s="20"/>
      <c r="F112" s="20"/>
      <c r="G112" s="20"/>
      <c r="H112" s="20"/>
      <c r="I112" s="20"/>
      <c r="J112" s="20"/>
      <c r="K112" s="22" t="s">
        <v>316</v>
      </c>
      <c r="L112" s="22"/>
      <c r="M112" s="20" t="str">
        <f>IF(ISBLANK(Y30),Tables!$J$9,IF(AP17="Yes",Tables!$J$9,""))</f>
        <v>Stone depth &lt; 3-in</v>
      </c>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133"/>
      <c r="AM112" s="132">
        <f t="shared" si="0"/>
        <v>1</v>
      </c>
    </row>
    <row r="113" spans="2:39" ht="15" customHeight="1" x14ac:dyDescent="0.3">
      <c r="B113" s="19"/>
      <c r="C113" s="20"/>
      <c r="D113" s="20"/>
      <c r="E113" s="20"/>
      <c r="F113" s="20"/>
      <c r="G113" s="20"/>
      <c r="H113" s="20"/>
      <c r="I113" s="20"/>
      <c r="J113" s="20"/>
      <c r="K113" s="22" t="s">
        <v>217</v>
      </c>
      <c r="L113" s="22"/>
      <c r="M113" s="20" t="str">
        <f>IF(ISBLANK(AH28),Tables!$J$10,IF(AP20=2,Tables!$J$11,IF(AP20=3,Tables!$J$12,"")))</f>
        <v>Strip slope &lt; 2% or &gt; 6%</v>
      </c>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133"/>
      <c r="AM113" s="132">
        <f t="shared" si="0"/>
        <v>1</v>
      </c>
    </row>
    <row r="114" spans="2:39" ht="15" customHeight="1" x14ac:dyDescent="0.3">
      <c r="B114" s="23"/>
      <c r="C114" s="24"/>
      <c r="D114" s="24"/>
      <c r="E114" s="24"/>
      <c r="F114" s="24"/>
      <c r="G114" s="24"/>
      <c r="H114" s="24"/>
      <c r="I114" s="24"/>
      <c r="J114" s="24"/>
      <c r="K114" s="25" t="s">
        <v>324</v>
      </c>
      <c r="L114" s="25"/>
      <c r="M114" s="24" t="str">
        <f>IF(AM30=1,Tables!$J$14,IF(AN30=2,Tables!$J$14,""))</f>
        <v>Geotextile filter fabric not provided</v>
      </c>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133"/>
      <c r="AM114" s="132">
        <f t="shared" si="0"/>
        <v>1</v>
      </c>
    </row>
    <row r="115" spans="2:39" ht="15" customHeight="1" x14ac:dyDescent="0.3">
      <c r="B115" s="19"/>
      <c r="C115" s="121" t="s">
        <v>314</v>
      </c>
      <c r="D115" s="20"/>
      <c r="E115" s="20"/>
      <c r="F115" s="20"/>
      <c r="G115" s="20"/>
      <c r="H115" s="20"/>
      <c r="I115" s="20"/>
      <c r="J115" s="20"/>
      <c r="K115" s="22" t="s">
        <v>17</v>
      </c>
      <c r="L115" s="22"/>
      <c r="M115" s="20" t="str">
        <f>IF(ISBLANK(Y34),Tables!$J$13,IF(AP23="Yes",Tables!$J$13,""))</f>
        <v>Strip width &lt; 25-ft</v>
      </c>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133"/>
      <c r="AM115" s="132">
        <f t="shared" si="0"/>
        <v>1</v>
      </c>
    </row>
    <row r="116" spans="2:39" ht="15" customHeight="1" x14ac:dyDescent="0.3">
      <c r="B116" s="23"/>
      <c r="C116" s="24"/>
      <c r="D116" s="24"/>
      <c r="E116" s="24"/>
      <c r="F116" s="24"/>
      <c r="G116" s="24"/>
      <c r="H116" s="24"/>
      <c r="I116" s="24"/>
      <c r="J116" s="24"/>
      <c r="K116" s="25" t="s">
        <v>217</v>
      </c>
      <c r="L116" s="25"/>
      <c r="M116" s="24" t="str">
        <f>IF(ISBLANK(AH34),Tables!$J$10,IF(AP21=2,Tables!$J$11,IF(AP21=3,Tables!$J$12,"")))</f>
        <v>Strip slope &lt; 2% or &gt; 6%</v>
      </c>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133"/>
      <c r="AM116" s="132">
        <f t="shared" si="0"/>
        <v>1</v>
      </c>
    </row>
    <row r="117" spans="2:39" ht="15" customHeight="1" x14ac:dyDescent="0.3">
      <c r="B117" s="19"/>
      <c r="C117" s="121" t="s">
        <v>294</v>
      </c>
      <c r="D117" s="20"/>
      <c r="E117" s="20"/>
      <c r="F117" s="20"/>
      <c r="G117" s="20"/>
      <c r="H117" s="20"/>
      <c r="I117" s="20"/>
      <c r="J117" s="20"/>
      <c r="K117" s="22" t="s">
        <v>300</v>
      </c>
      <c r="L117" s="22"/>
      <c r="M117" s="20" t="str">
        <f>IF(AM39&lt;2,Tables!$J$3,"")</f>
        <v>Latitude and/or Longitude not provided</v>
      </c>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133"/>
      <c r="AM117" s="132">
        <f t="shared" si="0"/>
        <v>1</v>
      </c>
    </row>
    <row r="118" spans="2:39" ht="15" customHeight="1" x14ac:dyDescent="0.3">
      <c r="B118" s="23"/>
      <c r="C118" s="24"/>
      <c r="D118" s="24"/>
      <c r="E118" s="24"/>
      <c r="F118" s="24"/>
      <c r="G118" s="24"/>
      <c r="H118" s="24"/>
      <c r="I118" s="24"/>
      <c r="J118" s="24"/>
      <c r="K118" s="25"/>
      <c r="L118" s="25"/>
      <c r="M118" s="24" t="str">
        <f>IF(AND(AM40=1,AM41=1),Tables!$J$4,IF(OR(AM40=3,AM41=3),Tables!$J$4,""))</f>
        <v>Latitude and/or Longitude has been entered as text.  Change to a number.</v>
      </c>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133"/>
      <c r="AM118" s="132">
        <f t="shared" si="0"/>
        <v>1</v>
      </c>
    </row>
    <row r="119" spans="2:39" ht="15" customHeight="1" x14ac:dyDescent="0.3">
      <c r="B119" s="134"/>
      <c r="C119" s="135" t="s">
        <v>42</v>
      </c>
      <c r="D119" s="136"/>
      <c r="E119" s="136"/>
      <c r="F119" s="136"/>
      <c r="G119" s="136"/>
      <c r="H119" s="136"/>
      <c r="I119" s="136"/>
      <c r="J119" s="136"/>
      <c r="K119" s="137"/>
      <c r="L119" s="137"/>
      <c r="M119" s="138" t="str">
        <f>IF(AM69=7,Tables!$J$15,IF(AP69&gt;0,Tables!$J$15,""))</f>
        <v>All required photographs are not provided</v>
      </c>
      <c r="N119" s="137"/>
      <c r="O119" s="137"/>
      <c r="P119" s="136"/>
      <c r="Q119" s="136"/>
      <c r="R119" s="136"/>
      <c r="S119" s="136"/>
      <c r="T119" s="136"/>
      <c r="U119" s="136"/>
      <c r="V119" s="136"/>
      <c r="W119" s="136"/>
      <c r="X119" s="136"/>
      <c r="Y119" s="136"/>
      <c r="Z119" s="136"/>
      <c r="AA119" s="136"/>
      <c r="AB119" s="136"/>
      <c r="AC119" s="136"/>
      <c r="AD119" s="136"/>
      <c r="AE119" s="136"/>
      <c r="AF119" s="136"/>
      <c r="AG119" s="136"/>
      <c r="AH119" s="136"/>
      <c r="AI119" s="136"/>
      <c r="AJ119" s="136"/>
      <c r="AK119" s="139"/>
      <c r="AL119" s="133"/>
      <c r="AM119" s="132">
        <f t="shared" si="0"/>
        <v>1</v>
      </c>
    </row>
    <row r="120" spans="2:39" ht="15" customHeight="1" x14ac:dyDescent="0.3"/>
    <row r="121" spans="2:39" ht="15" customHeight="1" x14ac:dyDescent="0.3"/>
    <row r="122" spans="2:39" ht="15" customHeight="1" x14ac:dyDescent="0.3"/>
    <row r="123" spans="2:39" ht="15" customHeight="1" x14ac:dyDescent="0.3"/>
    <row r="124" spans="2:39" ht="15" customHeight="1" x14ac:dyDescent="0.3"/>
    <row r="125" spans="2:39" ht="15" customHeight="1" x14ac:dyDescent="0.3"/>
    <row r="126" spans="2:39" ht="15" customHeight="1" x14ac:dyDescent="0.3"/>
    <row r="127" spans="2:39" ht="15" customHeight="1" x14ac:dyDescent="0.3"/>
    <row r="128" spans="2:39"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spans="2:18" ht="15" customHeight="1" x14ac:dyDescent="0.3"/>
    <row r="146" spans="2:18" ht="15" customHeight="1" x14ac:dyDescent="0.3"/>
    <row r="147" spans="2:18" ht="15" customHeight="1" x14ac:dyDescent="0.3">
      <c r="B147" s="177">
        <f>Tables!$F$13</f>
        <v>46266</v>
      </c>
      <c r="C147" s="177"/>
      <c r="D147" s="177"/>
      <c r="E147" s="177"/>
      <c r="F147" s="177"/>
      <c r="G147" s="177"/>
      <c r="H147" s="177"/>
      <c r="I147" s="59"/>
      <c r="R147" s="4" t="s">
        <v>329</v>
      </c>
    </row>
    <row r="148" spans="2:18" ht="15" customHeight="1" x14ac:dyDescent="0.3"/>
    <row r="149" spans="2:18" ht="15" customHeight="1" x14ac:dyDescent="0.3"/>
    <row r="150" spans="2:18" ht="15" customHeight="1" x14ac:dyDescent="0.3"/>
    <row r="151" spans="2:18" ht="15" customHeight="1" x14ac:dyDescent="0.3"/>
    <row r="152" spans="2:18" ht="15" customHeight="1" x14ac:dyDescent="0.3"/>
    <row r="153" spans="2:18" ht="15" hidden="1" customHeight="1" x14ac:dyDescent="0.3"/>
    <row r="154" spans="2:18" ht="15" hidden="1" customHeight="1" x14ac:dyDescent="0.3"/>
    <row r="155" spans="2:18" ht="15" hidden="1" customHeight="1" x14ac:dyDescent="0.3"/>
    <row r="156" spans="2:18" ht="15" hidden="1" customHeight="1" x14ac:dyDescent="0.3"/>
    <row r="157" spans="2:18" ht="15" hidden="1" customHeight="1" x14ac:dyDescent="0.3"/>
    <row r="158" spans="2:18" ht="15" hidden="1" customHeight="1" x14ac:dyDescent="0.3"/>
    <row r="159" spans="2:18" ht="15" hidden="1" customHeight="1" x14ac:dyDescent="0.3"/>
    <row r="160" spans="2:18" ht="15" hidden="1" customHeight="1" x14ac:dyDescent="0.3"/>
    <row r="161" ht="15" hidden="1" customHeight="1" x14ac:dyDescent="0.3"/>
    <row r="162" ht="15" hidden="1" customHeight="1" x14ac:dyDescent="0.3"/>
    <row r="163" ht="15" hidden="1" customHeight="1" x14ac:dyDescent="0.3"/>
    <row r="164" ht="15" hidden="1" customHeight="1" x14ac:dyDescent="0.3"/>
    <row r="165" ht="15" hidden="1" customHeight="1" x14ac:dyDescent="0.3"/>
    <row r="166" ht="15" hidden="1" customHeight="1" x14ac:dyDescent="0.3"/>
    <row r="167" ht="15" hidden="1" customHeight="1" x14ac:dyDescent="0.3"/>
    <row r="168" ht="15" hidden="1" customHeight="1" x14ac:dyDescent="0.3"/>
    <row r="169" ht="15" hidden="1" customHeight="1" x14ac:dyDescent="0.3"/>
    <row r="170" ht="15" hidden="1" customHeight="1" x14ac:dyDescent="0.3"/>
    <row r="171" ht="15" hidden="1" customHeight="1" x14ac:dyDescent="0.3"/>
    <row r="172" ht="15" hidden="1" customHeight="1" x14ac:dyDescent="0.3"/>
    <row r="173" ht="15" hidden="1" customHeight="1" x14ac:dyDescent="0.3"/>
    <row r="174" ht="15" hidden="1" customHeight="1" x14ac:dyDescent="0.3"/>
    <row r="175" ht="15" hidden="1" customHeight="1" x14ac:dyDescent="0.3"/>
    <row r="176" ht="15" hidden="1" customHeight="1" x14ac:dyDescent="0.3"/>
    <row r="177" ht="15" hidden="1" customHeight="1" x14ac:dyDescent="0.3"/>
    <row r="178" ht="15" hidden="1" customHeight="1" x14ac:dyDescent="0.3"/>
    <row r="179" ht="15" hidden="1" customHeight="1" x14ac:dyDescent="0.3"/>
    <row r="180" ht="15" hidden="1" customHeight="1" x14ac:dyDescent="0.3"/>
    <row r="181" ht="15" hidden="1" customHeight="1" x14ac:dyDescent="0.3"/>
    <row r="182" ht="15" hidden="1" customHeight="1" x14ac:dyDescent="0.3"/>
    <row r="183" ht="15" hidden="1" customHeight="1" x14ac:dyDescent="0.3"/>
    <row r="184" ht="15" hidden="1" customHeight="1" x14ac:dyDescent="0.3"/>
    <row r="185" ht="15" hidden="1" customHeight="1" x14ac:dyDescent="0.3"/>
    <row r="186" ht="15" hidden="1" customHeight="1" x14ac:dyDescent="0.3"/>
  </sheetData>
  <sheetProtection algorithmName="SHA-512" hashValue="LKpbhd0SnYOkbFvuhbKTLFec7gmYwdfM4uXjFGo/khrz2D7lyBR28b+8gjPRnO+rdFyNY3/Sw7FpedI6oZlDcw==" saltValue="hnzAxx3i1PLl6Mymke3E5w==" spinCount="100000" sheet="1" objects="1" scenarios="1" selectLockedCells="1"/>
  <mergeCells count="107">
    <mergeCell ref="B102:H102"/>
    <mergeCell ref="B147:H147"/>
    <mergeCell ref="AD6:AK6"/>
    <mergeCell ref="O28:Q28"/>
    <mergeCell ref="F30:H30"/>
    <mergeCell ref="A32:AL32"/>
    <mergeCell ref="Y28:AA28"/>
    <mergeCell ref="AH28:AJ28"/>
    <mergeCell ref="Y30:AA30"/>
    <mergeCell ref="F34:H34"/>
    <mergeCell ref="O34:Q34"/>
    <mergeCell ref="Y34:AA34"/>
    <mergeCell ref="AH34:AJ34"/>
    <mergeCell ref="Z64:AC64"/>
    <mergeCell ref="AH64:AK64"/>
    <mergeCell ref="AH57:AK57"/>
    <mergeCell ref="F56:V56"/>
    <mergeCell ref="F64:V64"/>
    <mergeCell ref="F62:V62"/>
    <mergeCell ref="F59:V59"/>
    <mergeCell ref="F55:V55"/>
    <mergeCell ref="F58:V58"/>
    <mergeCell ref="F57:V57"/>
    <mergeCell ref="AB77:AH77"/>
    <mergeCell ref="X79:Y79"/>
    <mergeCell ref="AB79:AH79"/>
    <mergeCell ref="X81:Y81"/>
    <mergeCell ref="AB81:AH81"/>
    <mergeCell ref="AF7:AK7"/>
    <mergeCell ref="AF8:AK8"/>
    <mergeCell ref="R51:U51"/>
    <mergeCell ref="E7:Z7"/>
    <mergeCell ref="B42:AK48"/>
    <mergeCell ref="Z65:AK65"/>
    <mergeCell ref="B51:H51"/>
    <mergeCell ref="AF106:AK106"/>
    <mergeCell ref="Y17:AA17"/>
    <mergeCell ref="AH14:AK14"/>
    <mergeCell ref="AH16:AJ16"/>
    <mergeCell ref="Y14:AB14"/>
    <mergeCell ref="Y15:AA15"/>
    <mergeCell ref="Y16:AA16"/>
    <mergeCell ref="F16:H16"/>
    <mergeCell ref="O15:Q15"/>
    <mergeCell ref="A26:AL26"/>
    <mergeCell ref="F28:H28"/>
    <mergeCell ref="O38:R38"/>
    <mergeCell ref="E38:H38"/>
    <mergeCell ref="AG104:AK104"/>
    <mergeCell ref="D103:Z103"/>
    <mergeCell ref="AG103:AK103"/>
    <mergeCell ref="E95:I95"/>
    <mergeCell ref="AC97:AG97"/>
    <mergeCell ref="E90:Y90"/>
    <mergeCell ref="E91:Y91"/>
    <mergeCell ref="E92:Y92"/>
    <mergeCell ref="E93:K93"/>
    <mergeCell ref="O93:R93"/>
    <mergeCell ref="W93:Y93"/>
    <mergeCell ref="E94:Y94"/>
    <mergeCell ref="X77:Y77"/>
    <mergeCell ref="BK1:BX4"/>
    <mergeCell ref="X38:AA38"/>
    <mergeCell ref="AH38:AK38"/>
    <mergeCell ref="A12:AL12"/>
    <mergeCell ref="A36:AL36"/>
    <mergeCell ref="F65:V65"/>
    <mergeCell ref="F66:V66"/>
    <mergeCell ref="W69:Z69"/>
    <mergeCell ref="Z57:AC57"/>
    <mergeCell ref="AB69:AH69"/>
    <mergeCell ref="AS6:BF7"/>
    <mergeCell ref="E8:Z8"/>
    <mergeCell ref="F14:I14"/>
    <mergeCell ref="O14:R14"/>
    <mergeCell ref="F15:H15"/>
    <mergeCell ref="O16:Q16"/>
    <mergeCell ref="AG66:AK66"/>
    <mergeCell ref="AG53:AK53"/>
    <mergeCell ref="F63:V63"/>
    <mergeCell ref="AG59:AK59"/>
    <mergeCell ref="D52:Z52"/>
    <mergeCell ref="AG52:AK52"/>
    <mergeCell ref="W1:AL4"/>
    <mergeCell ref="B87:AJ88"/>
    <mergeCell ref="F17:H17"/>
    <mergeCell ref="AH15:AJ15"/>
    <mergeCell ref="A19:AL19"/>
    <mergeCell ref="F21:H21"/>
    <mergeCell ref="O21:Q21"/>
    <mergeCell ref="F22:H22"/>
    <mergeCell ref="O22:Q22"/>
    <mergeCell ref="F24:H24"/>
    <mergeCell ref="O24:Q24"/>
    <mergeCell ref="Y21:AA21"/>
    <mergeCell ref="AH21:AJ21"/>
    <mergeCell ref="Y22:AA22"/>
    <mergeCell ref="AH22:AJ22"/>
    <mergeCell ref="Y24:AA24"/>
    <mergeCell ref="AH24:AJ24"/>
    <mergeCell ref="X83:Y83"/>
    <mergeCell ref="AB83:AH83"/>
    <mergeCell ref="X73:Y73"/>
    <mergeCell ref="AB73:AH73"/>
    <mergeCell ref="X75:Y75"/>
    <mergeCell ref="AB75:AH75"/>
    <mergeCell ref="Z58:AK58"/>
  </mergeCells>
  <conditionalFormatting sqref="B42:AK48">
    <cfRule type="expression" dxfId="58" priority="1562">
      <formula>$AM$107&gt;0</formula>
    </cfRule>
    <cfRule type="cellIs" priority="1561" stopIfTrue="1" operator="greaterThan">
      <formula>0</formula>
    </cfRule>
  </conditionalFormatting>
  <conditionalFormatting sqref="D52">
    <cfRule type="cellIs" dxfId="57" priority="159" operator="equal">
      <formula>0</formula>
    </cfRule>
  </conditionalFormatting>
  <conditionalFormatting sqref="D71 F71 X38 AH38 F55:F59 Z65 AG66">
    <cfRule type="expression" dxfId="56" priority="147">
      <formula>ISBLANK(D38)</formula>
    </cfRule>
  </conditionalFormatting>
  <conditionalFormatting sqref="D73 F73">
    <cfRule type="expression" dxfId="55" priority="122">
      <formula>ISBLANK(D73)</formula>
    </cfRule>
  </conditionalFormatting>
  <conditionalFormatting sqref="D75 F75">
    <cfRule type="expression" dxfId="54" priority="119">
      <formula>ISBLANK(D75)</formula>
    </cfRule>
  </conditionalFormatting>
  <conditionalFormatting sqref="D77 F77">
    <cfRule type="expression" dxfId="53" priority="116">
      <formula>ISBLANK(D77)</formula>
    </cfRule>
  </conditionalFormatting>
  <conditionalFormatting sqref="D79 F79">
    <cfRule type="expression" dxfId="52" priority="113">
      <formula>ISBLANK(D79)</formula>
    </cfRule>
  </conditionalFormatting>
  <conditionalFormatting sqref="D81 F81">
    <cfRule type="expression" dxfId="51" priority="98">
      <formula>ISBLANK(D81)</formula>
    </cfRule>
  </conditionalFormatting>
  <conditionalFormatting sqref="D83 F83">
    <cfRule type="expression" dxfId="50" priority="89">
      <formula>ISBLANK(D83)</formula>
    </cfRule>
  </conditionalFormatting>
  <conditionalFormatting sqref="D103">
    <cfRule type="cellIs" dxfId="49" priority="156" operator="equal">
      <formula>0</formula>
    </cfRule>
  </conditionalFormatting>
  <conditionalFormatting sqref="E7:E8 AF8 AG52:AG53 AG103:AG104">
    <cfRule type="cellIs" dxfId="48" priority="167" operator="equal">
      <formula>0</formula>
    </cfRule>
  </conditionalFormatting>
  <conditionalFormatting sqref="E90:E91">
    <cfRule type="expression" dxfId="47" priority="95">
      <formula>ISBLANK(E90)</formula>
    </cfRule>
  </conditionalFormatting>
  <conditionalFormatting sqref="E92:Y92 E93:E95">
    <cfRule type="expression" dxfId="46" priority="93">
      <formula>ISBLANK(E92)</formula>
    </cfRule>
  </conditionalFormatting>
  <conditionalFormatting sqref="F62:F66">
    <cfRule type="expression" dxfId="45" priority="296">
      <formula>ISBLANK(F62)</formula>
    </cfRule>
  </conditionalFormatting>
  <conditionalFormatting sqref="F71 D71">
    <cfRule type="expression" priority="146" stopIfTrue="1">
      <formula>$AM$71=2</formula>
    </cfRule>
  </conditionalFormatting>
  <conditionalFormatting sqref="F71">
    <cfRule type="expression" dxfId="44" priority="139">
      <formula>$AN$71=2</formula>
    </cfRule>
  </conditionalFormatting>
  <conditionalFormatting sqref="F73 D73">
    <cfRule type="expression" priority="121" stopIfTrue="1">
      <formula>$AM$73=2</formula>
    </cfRule>
  </conditionalFormatting>
  <conditionalFormatting sqref="F73">
    <cfRule type="expression" dxfId="43" priority="120">
      <formula>$AN$73=2</formula>
    </cfRule>
  </conditionalFormatting>
  <conditionalFormatting sqref="F75 D75">
    <cfRule type="expression" priority="118" stopIfTrue="1">
      <formula>$AM$75=2</formula>
    </cfRule>
  </conditionalFormatting>
  <conditionalFormatting sqref="F75">
    <cfRule type="expression" dxfId="42" priority="117">
      <formula>$AN$75=2</formula>
    </cfRule>
  </conditionalFormatting>
  <conditionalFormatting sqref="F77 D77">
    <cfRule type="expression" priority="115" stopIfTrue="1">
      <formula>$AM$77=2</formula>
    </cfRule>
  </conditionalFormatting>
  <conditionalFormatting sqref="F77">
    <cfRule type="expression" dxfId="41" priority="114">
      <formula>$AN$77=2</formula>
    </cfRule>
  </conditionalFormatting>
  <conditionalFormatting sqref="F79 D79">
    <cfRule type="expression" priority="112" stopIfTrue="1">
      <formula>$AM$79=2</formula>
    </cfRule>
  </conditionalFormatting>
  <conditionalFormatting sqref="F79">
    <cfRule type="expression" dxfId="40" priority="111">
      <formula>$AN$79=2</formula>
    </cfRule>
  </conditionalFormatting>
  <conditionalFormatting sqref="F81 D81">
    <cfRule type="expression" priority="97" stopIfTrue="1">
      <formula>$AM$81=2</formula>
    </cfRule>
  </conditionalFormatting>
  <conditionalFormatting sqref="F81">
    <cfRule type="expression" dxfId="39" priority="96">
      <formula>$AN$81=2</formula>
    </cfRule>
  </conditionalFormatting>
  <conditionalFormatting sqref="F83 D83">
    <cfRule type="expression" priority="88" stopIfTrue="1">
      <formula>$AM$83=2</formula>
    </cfRule>
  </conditionalFormatting>
  <conditionalFormatting sqref="F83">
    <cfRule type="expression" dxfId="38" priority="87">
      <formula>$AN$83=2</formula>
    </cfRule>
  </conditionalFormatting>
  <conditionalFormatting sqref="F22:H22">
    <cfRule type="cellIs" priority="10" stopIfTrue="1" operator="equal">
      <formula>0</formula>
    </cfRule>
  </conditionalFormatting>
  <conditionalFormatting sqref="F28:H28">
    <cfRule type="cellIs" dxfId="36" priority="17" operator="lessThan">
      <formula>3</formula>
    </cfRule>
    <cfRule type="expression" priority="16" stopIfTrue="1">
      <formula>$F$28=0</formula>
    </cfRule>
  </conditionalFormatting>
  <conditionalFormatting sqref="F30:H30">
    <cfRule type="cellIs" dxfId="35" priority="15" operator="lessThan">
      <formula>3</formula>
    </cfRule>
    <cfRule type="expression" priority="14" stopIfTrue="1">
      <formula>$F$30=0</formula>
    </cfRule>
  </conditionalFormatting>
  <conditionalFormatting sqref="F34:H34">
    <cfRule type="cellIs" priority="8" stopIfTrue="1" operator="equal">
      <formula>0</formula>
    </cfRule>
  </conditionalFormatting>
  <conditionalFormatting sqref="G10 N10 X10 AE10">
    <cfRule type="expression" dxfId="33" priority="173">
      <formula>ISBLANK(G10)</formula>
    </cfRule>
  </conditionalFormatting>
  <conditionalFormatting sqref="O93 W93">
    <cfRule type="expression" dxfId="32" priority="92">
      <formula>ISBLANK(O93)</formula>
    </cfRule>
  </conditionalFormatting>
  <conditionalFormatting sqref="O21:Q21">
    <cfRule type="cellIs" dxfId="31" priority="23" operator="notEqual">
      <formula>0</formula>
    </cfRule>
  </conditionalFormatting>
  <conditionalFormatting sqref="O22:Q22">
    <cfRule type="cellIs" priority="3" stopIfTrue="1" operator="equal">
      <formula>0</formula>
    </cfRule>
  </conditionalFormatting>
  <conditionalFormatting sqref="O24:Q24">
    <cfRule type="expression" priority="18" stopIfTrue="1">
      <formula>$O$24=0</formula>
    </cfRule>
  </conditionalFormatting>
  <conditionalFormatting sqref="O28:Q28">
    <cfRule type="expression" priority="19" stopIfTrue="1">
      <formula>$O$28=0</formula>
    </cfRule>
  </conditionalFormatting>
  <conditionalFormatting sqref="O34:Q34">
    <cfRule type="cellIs" priority="6" stopIfTrue="1" operator="equal">
      <formula>0</formula>
    </cfRule>
  </conditionalFormatting>
  <conditionalFormatting sqref="Q30">
    <cfRule type="expression" priority="12" stopIfTrue="1">
      <formula>$Q$30=0</formula>
    </cfRule>
  </conditionalFormatting>
  <conditionalFormatting sqref="X73 AB73">
    <cfRule type="cellIs" priority="109" stopIfTrue="1" operator="greaterThan">
      <formula>0</formula>
    </cfRule>
    <cfRule type="expression" dxfId="25" priority="110">
      <formula>$AO$73=2</formula>
    </cfRule>
  </conditionalFormatting>
  <conditionalFormatting sqref="X75 AB75">
    <cfRule type="cellIs" priority="107" stopIfTrue="1" operator="greaterThan">
      <formula>0</formula>
    </cfRule>
    <cfRule type="expression" dxfId="24" priority="108">
      <formula>$AO$75=2</formula>
    </cfRule>
  </conditionalFormatting>
  <conditionalFormatting sqref="X77 AB77">
    <cfRule type="cellIs" priority="105" stopIfTrue="1" operator="greaterThan">
      <formula>0</formula>
    </cfRule>
    <cfRule type="expression" dxfId="23" priority="106">
      <formula>$AO$77=2</formula>
    </cfRule>
  </conditionalFormatting>
  <conditionalFormatting sqref="X79 AB79">
    <cfRule type="expression" dxfId="22" priority="104">
      <formula>$AO$79=2</formula>
    </cfRule>
    <cfRule type="cellIs" priority="103" stopIfTrue="1" operator="greaterThan">
      <formula>0</formula>
    </cfRule>
  </conditionalFormatting>
  <conditionalFormatting sqref="X81 AB81">
    <cfRule type="cellIs" priority="85" stopIfTrue="1" operator="greaterThan">
      <formula>0</formula>
    </cfRule>
    <cfRule type="expression" dxfId="21" priority="86">
      <formula>$AO$81=2</formula>
    </cfRule>
  </conditionalFormatting>
  <conditionalFormatting sqref="X83 AB83">
    <cfRule type="expression" dxfId="20" priority="84">
      <formula>$AO$83=2</formula>
    </cfRule>
    <cfRule type="cellIs" priority="83" stopIfTrue="1" operator="greaterThan">
      <formula>0</formula>
    </cfRule>
  </conditionalFormatting>
  <conditionalFormatting sqref="X38:AA38">
    <cfRule type="expression" dxfId="19" priority="1563">
      <formula>$AM$40=3</formula>
    </cfRule>
  </conditionalFormatting>
  <conditionalFormatting sqref="Y21:AA22 AH21:AJ22 Y24:AA24 AH24:AJ24">
    <cfRule type="expression" dxfId="18" priority="5">
      <formula>ISBLANK(Y21)</formula>
    </cfRule>
  </conditionalFormatting>
  <conditionalFormatting sqref="Y22:AA22">
    <cfRule type="expression" dxfId="17" priority="35">
      <formula>$Y$22-$AH$22&lt;0.25</formula>
    </cfRule>
  </conditionalFormatting>
  <conditionalFormatting sqref="Y28:AA28">
    <cfRule type="cellIs" dxfId="16" priority="34" operator="lessThan">
      <formula>3</formula>
    </cfRule>
  </conditionalFormatting>
  <conditionalFormatting sqref="Y30:AA30">
    <cfRule type="cellIs" dxfId="15" priority="30" operator="lessThan">
      <formula>3</formula>
    </cfRule>
  </conditionalFormatting>
  <conditionalFormatting sqref="Y34:AA34">
    <cfRule type="cellIs" dxfId="14" priority="1567" operator="lessThan">
      <formula>$AP$22</formula>
    </cfRule>
  </conditionalFormatting>
  <conditionalFormatting sqref="Y14:AB14 AH14:AK14 AH15:AJ16 Y15:AA17">
    <cfRule type="expression" dxfId="13" priority="36">
      <formula>ISBLANK(Y14)</formula>
    </cfRule>
  </conditionalFormatting>
  <conditionalFormatting sqref="Z57:Z58">
    <cfRule type="expression" dxfId="12" priority="1">
      <formula>ISBLANK(Z57)</formula>
    </cfRule>
  </conditionalFormatting>
  <conditionalFormatting sqref="Z58">
    <cfRule type="expression" priority="2" stopIfTrue="1">
      <formula>$AN$61=2</formula>
    </cfRule>
  </conditionalFormatting>
  <conditionalFormatting sqref="Z61">
    <cfRule type="expression" priority="158" stopIfTrue="1">
      <formula>$AM$61=2</formula>
    </cfRule>
    <cfRule type="expression" dxfId="11" priority="179">
      <formula>ISBLANK(Z61)</formula>
    </cfRule>
  </conditionalFormatting>
  <conditionalFormatting sqref="Z64 AH64 AH57 AG59">
    <cfRule type="expression" dxfId="10" priority="269">
      <formula>ISBLANK(Z57)</formula>
    </cfRule>
  </conditionalFormatting>
  <conditionalFormatting sqref="Z64:Z65 AG66 F62:F66 AH64">
    <cfRule type="expression" priority="176" stopIfTrue="1">
      <formula>$AN$61=2</formula>
    </cfRule>
  </conditionalFormatting>
  <conditionalFormatting sqref="AC97">
    <cfRule type="expression" dxfId="9" priority="94">
      <formula>ISBLANK(AC97)</formula>
    </cfRule>
  </conditionalFormatting>
  <conditionalFormatting sqref="AD6">
    <cfRule type="cellIs" dxfId="8" priority="43" operator="equal">
      <formula>0</formula>
    </cfRule>
  </conditionalFormatting>
  <conditionalFormatting sqref="AF7">
    <cfRule type="expression" dxfId="7" priority="149">
      <formula>ISBLANK(AF7)</formula>
    </cfRule>
  </conditionalFormatting>
  <conditionalFormatting sqref="AG30 AJ30 Y28:AA28 AH28:AJ28 Y30:AA30 Y34:AA34 AH34:AJ34">
    <cfRule type="expression" dxfId="6" priority="28">
      <formula>ISBLANK(Y28)</formula>
    </cfRule>
  </conditionalFormatting>
  <conditionalFormatting sqref="AH21:AJ21">
    <cfRule type="cellIs" dxfId="5" priority="25" operator="notEqual">
      <formula>0</formula>
    </cfRule>
  </conditionalFormatting>
  <conditionalFormatting sqref="AH22:AJ22">
    <cfRule type="expression" dxfId="4" priority="33">
      <formula>$Y$22-$AH$22&lt;0.25</formula>
    </cfRule>
  </conditionalFormatting>
  <conditionalFormatting sqref="AH24:AJ24">
    <cfRule type="cellIs" dxfId="3" priority="1568" operator="greaterThan">
      <formula>$AP$15</formula>
    </cfRule>
  </conditionalFormatting>
  <conditionalFormatting sqref="AH28:AJ28 AH34:AJ34">
    <cfRule type="cellIs" dxfId="2" priority="1566" operator="notBetween">
      <formula>$AP$18</formula>
      <formula>$AP$19</formula>
    </cfRule>
  </conditionalFormatting>
  <conditionalFormatting sqref="AH38:AK38">
    <cfRule type="expression" dxfId="1" priority="1564">
      <formula>$AM$41=3</formula>
    </cfRule>
  </conditionalFormatting>
  <conditionalFormatting sqref="AJ30 AG30">
    <cfRule type="expression" priority="26" stopIfTrue="1">
      <formula>$AM$30=2</formula>
    </cfRule>
  </conditionalFormatting>
  <conditionalFormatting sqref="AJ30">
    <cfRule type="expression" dxfId="0" priority="24">
      <formula>$AN$30=2</formula>
    </cfRule>
  </conditionalFormatting>
  <dataValidations count="1">
    <dataValidation allowBlank="1" showInputMessage="1" showErrorMessage="1" errorTitle="Workbook Locked" error="On the Instructions Tab, accept the conditions to use this form._x000a__x000a_                     OR_x000a__x000a_This form has expired.  Please obtain the latest version of this form." sqref="Q30 F17:H17 AD6 N30" xr:uid="{C33DAAA7-BA78-4992-95C6-E37C47A465DB}"/>
  </dataValidations>
  <pageMargins left="0.2" right="0.2" top="0.5" bottom="0.25" header="0.3" footer="0.3"/>
  <pageSetup scale="99" orientation="portrait" r:id="rId1"/>
  <rowBreaks count="2" manualBreakCount="2">
    <brk id="51" max="16383" man="1"/>
    <brk id="102" max="16383" man="1"/>
  </rowBreaks>
  <colBreaks count="1" manualBreakCount="1">
    <brk id="43" max="1048575" man="1"/>
  </col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1" id="{511F5D50-4E0A-4E7E-8F2F-0B8A41A59E72}">
            <xm:f>'Form 2G - Design'!$V$44:$X$44-'Form 2G - Design'!$AG$44:$AI$44&lt;0.25</xm:f>
            <x14:dxf>
              <fill>
                <patternFill>
                  <bgColor theme="7" tint="0.59996337778862885"/>
                </patternFill>
              </fill>
            </x14:dxf>
          </x14:cfRule>
          <xm:sqref>F22:H22</xm:sqref>
        </x14:conditionalFormatting>
        <x14:conditionalFormatting xmlns:xm="http://schemas.microsoft.com/office/excel/2006/main">
          <x14:cfRule type="cellIs" priority="9" operator="lessThan" id="{C7A4B590-BC6E-4C0A-9186-5B7ED8595158}">
            <xm:f>'Form 2G - Design'!$AP$57</xm:f>
            <x14:dxf>
              <fill>
                <patternFill>
                  <bgColor theme="7" tint="0.59996337778862885"/>
                </patternFill>
              </fill>
            </x14:dxf>
          </x14:cfRule>
          <xm:sqref>F34:H34</xm:sqref>
        </x14:conditionalFormatting>
        <x14:conditionalFormatting xmlns:xm="http://schemas.microsoft.com/office/excel/2006/main">
          <x14:cfRule type="expression" priority="4" id="{0E169948-ADB9-470F-B6CE-4858C2085D68}">
            <xm:f>'Form 2G - Design'!$V$44:$X$44-'Form 2G - Design'!$AG$44:$AI$44&lt;0.25</xm:f>
            <x14:dxf>
              <fill>
                <patternFill>
                  <bgColor theme="7" tint="0.59996337778862885"/>
                </patternFill>
              </fill>
            </x14:dxf>
          </x14:cfRule>
          <xm:sqref>O22:Q22</xm:sqref>
        </x14:conditionalFormatting>
        <x14:conditionalFormatting xmlns:xm="http://schemas.microsoft.com/office/excel/2006/main">
          <x14:cfRule type="cellIs" priority="21" operator="greaterThan" id="{224C1DE9-0CC4-4F4C-AE9F-25A4EF591EF4}">
            <xm:f>'Form 2G - Design'!$AP$46</xm:f>
            <x14:dxf>
              <fill>
                <patternFill>
                  <bgColor theme="7" tint="0.59996337778862885"/>
                </patternFill>
              </fill>
            </x14:dxf>
          </x14:cfRule>
          <xm:sqref>O24:Q24</xm:sqref>
        </x14:conditionalFormatting>
        <x14:conditionalFormatting xmlns:xm="http://schemas.microsoft.com/office/excel/2006/main">
          <x14:cfRule type="cellIs" priority="20" operator="notBetween" id="{EF260DE7-B0B6-4CE6-B6FC-00A3E2543CFA}">
            <xm:f>'Form 2G - Design'!$AP$52</xm:f>
            <xm:f>'Form 2G - Design'!$AP$53</xm:f>
            <x14:dxf>
              <fill>
                <patternFill>
                  <bgColor theme="7" tint="0.59996337778862885"/>
                </patternFill>
              </fill>
            </x14:dxf>
          </x14:cfRule>
          <xm:sqref>O28:Q28</xm:sqref>
        </x14:conditionalFormatting>
        <x14:conditionalFormatting xmlns:xm="http://schemas.microsoft.com/office/excel/2006/main">
          <x14:cfRule type="cellIs" priority="7" operator="notBetween" id="{95CF2DCC-9176-4581-9BE0-78724EAB6C70}">
            <xm:f>'Form 2G - Design'!$AP$52</xm:f>
            <xm:f>'Form 2G - Design'!$AP$53</xm:f>
            <x14:dxf>
              <fill>
                <patternFill>
                  <bgColor theme="7" tint="0.59996337778862885"/>
                </patternFill>
              </fill>
            </x14:dxf>
          </x14:cfRule>
          <xm:sqref>O34:Q34</xm:sqref>
        </x14:conditionalFormatting>
        <x14:conditionalFormatting xmlns:xm="http://schemas.microsoft.com/office/excel/2006/main">
          <x14:cfRule type="expression" priority="13" id="{682E64FE-6E64-4F08-807B-B49A33DE4B5C}">
            <xm:f>'Form 2G - Design'!$AM$50=2</xm:f>
            <x14:dxf>
              <fill>
                <patternFill>
                  <bgColor theme="7" tint="0.59996337778862885"/>
                </patternFill>
              </fill>
            </x14:dxf>
          </x14:cfRule>
          <xm:sqref>Q30</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BE41E341-9C5E-44E7-A54D-C7661114123C}">
          <x14:formula1>
            <xm:f>Tables!$D$2:$D$10</xm:f>
          </x14:formula1>
          <xm:sqref>Y14</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40752809-8207-435E-A0D2-F751288A06ED}">
          <x14:formula1>
            <xm:f>Tables!$B$8</xm:f>
          </x14:formula1>
          <xm:sqref>AF7:AK7 G10 N10 X10 AE10 X75:Y75 B42:AK48 AB77:AH77 AB75:AH75 AB73:AH73 E90:Y92 E93:K93 O93:R93 W93:Y93 E94:Y94 E95:I95 AC97:AG97 AB81:AH81 AB79:AH79 X77:Y77 X79:Y79 X81:Y81 X83:Y83 AB83:AH83 F55:V59 F62:V66 Z57:AC57 AH57:AK57 AG59:AK59 Z61 Z64:AC64 AH64:AK64 X38:AA38 AG66:AK66 D71 D73 D75 D77 D79 D81 D83 F83 F81 F79 F77 F75 F73 F71 X73:Y73 AH38:AK38 Z65 Z58 Y15:AA17 AH15:AJ16 Y21:AA22 AH21:AJ22 Y24:AA24 AH24:AJ24 Y28:AA28 Y30:AA30 AH28:AJ28 Y34:AA34 AH34:AJ34 AG30 AJ30</xm:sqref>
        </x14:dataValidation>
        <x14:dataValidation type="list" allowBlank="1" showInputMessage="1" showErrorMessage="1" xr:uid="{45811C8A-ECEE-4454-B380-9D2FF58D55E6}">
          <x14:formula1>
            <xm:f>Tables!$F$2:$F$8</xm:f>
          </x14:formula1>
          <xm:sqref>AA35:AD35 F35:I35</xm:sqref>
        </x14:dataValidation>
        <x14:dataValidation type="list" allowBlank="1" showInputMessage="1" showErrorMessage="1" xr:uid="{DEB60FAD-1B32-4513-A00C-D1A0F556EFA5}">
          <x14:formula1>
            <xm:f>Tables!$F$2:$F$9</xm:f>
          </x14:formula1>
          <xm:sqref>AH14:AK14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License</vt:lpstr>
      <vt:lpstr>General Instructions</vt:lpstr>
      <vt:lpstr>Form 2G - Design</vt:lpstr>
      <vt:lpstr>Form 3G - As-built</vt:lpstr>
      <vt:lpstr>Material</vt:lpstr>
      <vt:lpstr>'Form 2G - Design'!Print_Area</vt:lpstr>
      <vt:lpstr>'Form 3G - As-built'!Print_Area</vt:lpstr>
      <vt:lpstr>'Form 2G - Design'!Print_Titles</vt:lpstr>
      <vt:lpstr>'Form 3G - As-built'!Print_Titles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2026-09-05T00:29:31Z</cp:lastPrinted>
  <dcterms:created xsi:type="dcterms:W3CDTF">2021-11-21T16:55:43Z</dcterms:created>
  <dcterms:modified xsi:type="dcterms:W3CDTF">2026-09-06T20:31:59Z</dcterms:modified>
</cp:coreProperties>
</file>