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Baldwin County\2026\02 - Post Const Forms\2026-09-01 Published\"/>
    </mc:Choice>
  </mc:AlternateContent>
  <xr:revisionPtr revIDLastSave="0" documentId="13_ncr:1_{7F1C84CE-4DD7-404B-8217-840D5924076E}" xr6:coauthVersionLast="47" xr6:coauthVersionMax="47" xr10:uidLastSave="{00000000-0000-0000-0000-000000000000}"/>
  <workbookProtection workbookAlgorithmName="SHA-512" workbookHashValue="kygV+AUboa/FIM2Kk4XYhrtqYIL2jwSzGxtCaRfopLIoFw5xY/8LghEpPeNul8meFy7OtYYvP5iif2nj9lYavw==" workbookSaltValue="5hbjfsueiaVvEHeFIp8tew==" workbookSpinCount="100000" lockStructure="1"/>
  <bookViews>
    <workbookView xWindow="-14685" yWindow="-16320" windowWidth="29040" windowHeight="15720" tabRatio="684" firstSheet="1" activeTab="1" xr2:uid="{994EC860-6224-46C4-B304-9868EEFCD4CE}"/>
  </bookViews>
  <sheets>
    <sheet name="Tables" sheetId="2" state="veryHidden" r:id="rId1"/>
    <sheet name="License" sheetId="8" r:id="rId2"/>
    <sheet name="General Instructions" sheetId="11" r:id="rId3"/>
    <sheet name="Form 2B.1 - Design" sheetId="5" r:id="rId4"/>
    <sheet name="Form 3B - As-built" sheetId="6" r:id="rId5"/>
  </sheets>
  <definedNames>
    <definedName name="_Hlk68675965" localSheetId="4">'Form 3B - As-built'!#REF!</definedName>
    <definedName name="Logo">INDEX(Tables!$F$40:$F$46,MATCH(Tables!$F$14,Tables!$E$40:$E$46,0))</definedName>
    <definedName name="Material">Tables!$D$2:$D$10</definedName>
    <definedName name="_xlnm.Print_Area" localSheetId="3">'Form 2B.1 - Design'!$A$1:$AK$202</definedName>
    <definedName name="_xlnm.Print_Area" localSheetId="4">'Form 3B - As-built'!$A$1:$AL$245</definedName>
    <definedName name="_xlnm.Print_Titles" localSheetId="3">'Form 2B.1 - Design'!$1:$4</definedName>
    <definedName name="_xlnm.Print_Titles" localSheetId="4">'Form 3B - As-built'!$1:$4</definedName>
    <definedName name="Shape">Tables!$F$2:$F$10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4" i="6" l="1"/>
  <c r="AO87" i="5"/>
  <c r="AM63" i="5"/>
  <c r="AR83" i="5"/>
  <c r="AQ83" i="5"/>
  <c r="T83" i="5" s="1"/>
  <c r="AM81" i="5"/>
  <c r="AL81" i="5"/>
  <c r="AL51" i="5"/>
  <c r="AO124" i="6"/>
  <c r="P22" i="2"/>
  <c r="P19" i="2"/>
  <c r="AL113" i="5"/>
  <c r="AD6" i="6"/>
  <c r="AM155" i="5"/>
  <c r="I156" i="5" s="1"/>
  <c r="AL155" i="5"/>
  <c r="AL115" i="5"/>
  <c r="AL141" i="5"/>
  <c r="AM139" i="5"/>
  <c r="AL139" i="5"/>
  <c r="AM137" i="5"/>
  <c r="AL137" i="5"/>
  <c r="AS83" i="5" l="1"/>
  <c r="AQ85" i="5" s="1"/>
  <c r="B6" i="11"/>
  <c r="B34" i="11" s="1"/>
  <c r="B35" i="11" s="1"/>
  <c r="F38" i="2"/>
  <c r="O1" i="8"/>
  <c r="F37" i="2"/>
  <c r="F33" i="2"/>
  <c r="AP127" i="5" s="1"/>
  <c r="F32" i="2"/>
  <c r="F30" i="2"/>
  <c r="F29" i="2"/>
  <c r="F28" i="2"/>
  <c r="F27" i="2"/>
  <c r="F26" i="2"/>
  <c r="J18" i="2" s="1"/>
  <c r="F25" i="2"/>
  <c r="F24" i="2"/>
  <c r="F23" i="2"/>
  <c r="F22" i="8" s="1"/>
  <c r="F22" i="2"/>
  <c r="F21" i="2"/>
  <c r="F20" i="2"/>
  <c r="F19" i="2"/>
  <c r="F18" i="2"/>
  <c r="F17" i="2"/>
  <c r="F16" i="2"/>
  <c r="F15" i="2"/>
  <c r="B7" i="2"/>
  <c r="A2" i="8"/>
  <c r="B2" i="2"/>
  <c r="B6" i="2" s="1"/>
  <c r="O2" i="8" s="1"/>
  <c r="M22" i="2"/>
  <c r="M19" i="2"/>
  <c r="P65" i="6"/>
  <c r="M65" i="6"/>
  <c r="E65" i="6"/>
  <c r="L63" i="6"/>
  <c r="E63" i="6"/>
  <c r="H62" i="6"/>
  <c r="AO65" i="6"/>
  <c r="AN65" i="6"/>
  <c r="AM65" i="6"/>
  <c r="AN63" i="6"/>
  <c r="AM63" i="6"/>
  <c r="AM62" i="6"/>
  <c r="AX25" i="5" l="1"/>
  <c r="AX28" i="5"/>
  <c r="J22" i="2"/>
  <c r="L185" i="5" s="1"/>
  <c r="AL185" i="5" s="1"/>
  <c r="AC10" i="5"/>
  <c r="F7" i="8"/>
  <c r="F32" i="8"/>
  <c r="AX23" i="5"/>
  <c r="I143" i="5"/>
  <c r="O137" i="5"/>
  <c r="U139" i="5"/>
  <c r="U141" i="5"/>
  <c r="F29" i="8"/>
  <c r="F13" i="8"/>
  <c r="B8" i="2"/>
  <c r="AL93" i="5"/>
  <c r="AP85" i="5"/>
  <c r="AO85" i="5"/>
  <c r="AN85" i="5"/>
  <c r="AM85" i="5"/>
  <c r="AL85" i="5"/>
  <c r="AP83" i="5"/>
  <c r="AO83" i="5"/>
  <c r="AL83" i="5"/>
  <c r="AT127" i="5"/>
  <c r="AM135" i="5"/>
  <c r="AL135" i="5"/>
  <c r="AM133" i="5"/>
  <c r="AL133" i="5"/>
  <c r="AM131" i="5"/>
  <c r="AL131" i="5"/>
  <c r="AM129" i="5"/>
  <c r="AL129" i="5"/>
  <c r="S22" i="2"/>
  <c r="R22" i="2"/>
  <c r="Q22" i="2"/>
  <c r="O22" i="2"/>
  <c r="N22" i="2"/>
  <c r="K22" i="2"/>
  <c r="K23" i="2" s="1"/>
  <c r="S19" i="2"/>
  <c r="R19" i="2"/>
  <c r="Q19" i="2"/>
  <c r="O19" i="2"/>
  <c r="N19" i="2"/>
  <c r="AV30" i="5"/>
  <c r="AG202" i="6"/>
  <c r="B201" i="6"/>
  <c r="F31" i="2" l="1"/>
  <c r="AS125" i="5" s="1"/>
  <c r="F34" i="2"/>
  <c r="AS127" i="5" s="1"/>
  <c r="F3" i="8"/>
  <c r="AM83" i="5"/>
  <c r="AP143" i="5"/>
  <c r="AO143" i="5"/>
  <c r="AN143" i="5"/>
  <c r="AR115" i="6" s="1"/>
  <c r="AM143" i="5"/>
  <c r="AL143" i="5"/>
  <c r="L184" i="5" l="1"/>
  <c r="AL184" i="5" s="1"/>
  <c r="AQ143" i="5"/>
  <c r="AM151" i="5"/>
  <c r="AL151" i="5"/>
  <c r="AM153" i="5"/>
  <c r="AN153" i="5"/>
  <c r="AL153" i="5"/>
  <c r="L181" i="5"/>
  <c r="AL181" i="5" s="1"/>
  <c r="Y117" i="6"/>
  <c r="Y116" i="6"/>
  <c r="Y115" i="6"/>
  <c r="Y114" i="6"/>
  <c r="Y113" i="6"/>
  <c r="Y112" i="6"/>
  <c r="AS75" i="6" l="1"/>
  <c r="AS74" i="6"/>
  <c r="M193" i="6" l="1"/>
  <c r="AM193" i="6" s="1"/>
  <c r="AS91" i="5" l="1"/>
  <c r="AQ91" i="5"/>
  <c r="L189" i="5" l="1"/>
  <c r="M91" i="6" l="1"/>
  <c r="J21" i="5"/>
  <c r="AM15" i="5"/>
  <c r="AM14" i="5"/>
  <c r="AL14" i="5"/>
  <c r="F35" i="2" l="1"/>
  <c r="F36" i="2" s="1"/>
  <c r="AM16" i="5"/>
  <c r="AO127" i="5"/>
  <c r="AS123" i="5" l="1"/>
  <c r="AX26" i="5" s="1"/>
  <c r="AR123" i="5"/>
  <c r="AX27" i="5" s="1"/>
  <c r="I26" i="5"/>
  <c r="I39" i="5"/>
  <c r="AP15" i="5"/>
  <c r="AP14" i="5"/>
  <c r="AE15" i="5"/>
  <c r="N17" i="5"/>
  <c r="AE14" i="5"/>
  <c r="N21" i="5"/>
  <c r="AA17" i="5"/>
  <c r="N16" i="5"/>
  <c r="N20" i="5"/>
  <c r="N19" i="5"/>
  <c r="N18" i="5"/>
  <c r="AJ123" i="5" l="1"/>
  <c r="AP16" i="5"/>
  <c r="AQ114" i="6"/>
  <c r="AP125" i="5"/>
  <c r="AQ122" i="5"/>
  <c r="AQ121" i="5"/>
  <c r="AQ120" i="5"/>
  <c r="AQ119" i="5"/>
  <c r="AQ118" i="5"/>
  <c r="AQ117" i="5"/>
  <c r="K2" i="2"/>
  <c r="K3" i="2" s="1"/>
  <c r="K4" i="2" s="1"/>
  <c r="K5" i="2" s="1"/>
  <c r="K6" i="2" s="1"/>
  <c r="K7" i="2" s="1"/>
  <c r="K8" i="2" s="1"/>
  <c r="K9" i="2" s="1"/>
  <c r="K10" i="2" s="1"/>
  <c r="K11" i="2" s="1"/>
  <c r="K12" i="2" s="1"/>
  <c r="K13" i="2" s="1"/>
  <c r="K14" i="2" s="1"/>
  <c r="K15" i="2" s="1"/>
  <c r="K16" i="2" s="1"/>
  <c r="K17" i="2" s="1"/>
  <c r="K18" i="2" s="1"/>
  <c r="K19" i="2" s="1"/>
  <c r="AQ125" i="5" l="1"/>
  <c r="AQ127" i="5"/>
  <c r="AE17" i="5"/>
  <c r="AP170" i="6"/>
  <c r="AP168" i="6"/>
  <c r="AP166" i="6"/>
  <c r="AP164" i="6"/>
  <c r="AP162" i="6"/>
  <c r="AP160" i="6"/>
  <c r="AP158" i="6"/>
  <c r="J16" i="2" l="1"/>
  <c r="J15" i="2"/>
  <c r="AP156" i="6"/>
  <c r="AO125" i="5"/>
  <c r="AF188" i="6"/>
  <c r="AQ113" i="6" l="1"/>
  <c r="AM145" i="5"/>
  <c r="AM127" i="5" l="1"/>
  <c r="AL127" i="5"/>
  <c r="AL42" i="5"/>
  <c r="AL29" i="5"/>
  <c r="AO125" i="6"/>
  <c r="AN127" i="5" l="1"/>
  <c r="AP114" i="6"/>
  <c r="M191" i="6"/>
  <c r="AL114" i="5"/>
  <c r="L187" i="5" s="1"/>
  <c r="AP110" i="5" l="1"/>
  <c r="AP111" i="5"/>
  <c r="AP112" i="5"/>
  <c r="AP113" i="5"/>
  <c r="AP114" i="5"/>
  <c r="AP109" i="5"/>
  <c r="AR114" i="6"/>
  <c r="AL145" i="5"/>
  <c r="AM125" i="5"/>
  <c r="AL125" i="5"/>
  <c r="AN71" i="5"/>
  <c r="AR120" i="6" l="1"/>
  <c r="AR121" i="6"/>
  <c r="AR122" i="6"/>
  <c r="AR123" i="6"/>
  <c r="AR125" i="6"/>
  <c r="AR124" i="6"/>
  <c r="AN125" i="5"/>
  <c r="AP113" i="6"/>
  <c r="AP108" i="5"/>
  <c r="L199" i="5" s="1"/>
  <c r="AL23" i="5"/>
  <c r="AM149" i="5"/>
  <c r="AL149" i="5"/>
  <c r="AM147" i="5"/>
  <c r="AL147" i="5"/>
  <c r="AQ109" i="5"/>
  <c r="AS120" i="6"/>
  <c r="AW21" i="5"/>
  <c r="G125" i="6"/>
  <c r="G124" i="6"/>
  <c r="G123" i="6"/>
  <c r="G122" i="6"/>
  <c r="G121" i="6"/>
  <c r="G120" i="6"/>
  <c r="G117" i="6"/>
  <c r="G116" i="6"/>
  <c r="G115" i="6"/>
  <c r="G114" i="6"/>
  <c r="G113" i="6"/>
  <c r="G112" i="6"/>
  <c r="G114" i="5"/>
  <c r="G113" i="5"/>
  <c r="G112" i="5"/>
  <c r="G111" i="5"/>
  <c r="G110" i="5"/>
  <c r="G109" i="5"/>
  <c r="J47" i="5"/>
  <c r="J46" i="5"/>
  <c r="J45" i="5"/>
  <c r="J44" i="5"/>
  <c r="J43" i="5"/>
  <c r="J42" i="5"/>
  <c r="J34" i="5"/>
  <c r="J33" i="5"/>
  <c r="J32" i="5"/>
  <c r="J31" i="5"/>
  <c r="J30" i="5"/>
  <c r="J29" i="5"/>
  <c r="C117" i="6"/>
  <c r="B85" i="6"/>
  <c r="G85" i="6"/>
  <c r="M85" i="6"/>
  <c r="AO170" i="6"/>
  <c r="AN170" i="6"/>
  <c r="AM170" i="6"/>
  <c r="AO158" i="6"/>
  <c r="AN158" i="6"/>
  <c r="AM158" i="6"/>
  <c r="AV12" i="6"/>
  <c r="AV23" i="6" s="1"/>
  <c r="AV14" i="5"/>
  <c r="AV15" i="5" s="1"/>
  <c r="J6" i="2" l="1"/>
  <c r="AO110" i="5"/>
  <c r="AO109" i="5"/>
  <c r="AO111" i="5"/>
  <c r="AO112" i="5"/>
  <c r="AO113" i="5"/>
  <c r="AO114" i="5"/>
  <c r="AR113" i="6"/>
  <c r="AV17" i="5"/>
  <c r="AV20" i="5" s="1"/>
  <c r="AV33" i="5" s="1"/>
  <c r="AV35" i="5" s="1"/>
  <c r="AV38" i="5" s="1"/>
  <c r="AV41" i="5" s="1"/>
  <c r="AV45" i="5" s="1"/>
  <c r="AV46" i="5" s="1"/>
  <c r="AV54" i="5" s="1"/>
  <c r="AV55" i="5" s="1"/>
  <c r="AV56" i="5" s="1"/>
  <c r="AR119" i="6"/>
  <c r="M211" i="6" s="1"/>
  <c r="AN149" i="5"/>
  <c r="C125" i="6"/>
  <c r="C114" i="5"/>
  <c r="F34" i="5"/>
  <c r="F47" i="5"/>
  <c r="B245" i="6"/>
  <c r="AO168" i="6"/>
  <c r="AN168" i="6"/>
  <c r="AM168" i="6"/>
  <c r="AO166" i="6"/>
  <c r="AN166" i="6"/>
  <c r="AM166" i="6"/>
  <c r="AO164" i="6"/>
  <c r="AN164" i="6"/>
  <c r="AM164" i="6"/>
  <c r="AO162" i="6"/>
  <c r="AN162" i="6"/>
  <c r="AM162" i="6"/>
  <c r="AO160" i="6"/>
  <c r="AN160" i="6"/>
  <c r="AM160" i="6"/>
  <c r="B202" i="5"/>
  <c r="AQ121" i="6" l="1"/>
  <c r="AQ122" i="6"/>
  <c r="AQ125" i="6"/>
  <c r="AQ123" i="6"/>
  <c r="AQ120" i="6"/>
  <c r="AQ124" i="6"/>
  <c r="AM156" i="6"/>
  <c r="M212" i="6" s="1"/>
  <c r="AM212" i="6" s="1"/>
  <c r="AO108" i="5"/>
  <c r="AN102" i="5"/>
  <c r="AL76" i="5"/>
  <c r="AL77" i="5"/>
  <c r="AL78" i="5"/>
  <c r="AL79" i="5"/>
  <c r="AL75" i="5"/>
  <c r="AL73" i="5"/>
  <c r="AS122" i="6"/>
  <c r="AS123" i="6"/>
  <c r="AS124" i="6"/>
  <c r="AS125" i="6"/>
  <c r="AS121" i="6"/>
  <c r="AO121" i="6"/>
  <c r="AO122" i="6"/>
  <c r="AO123" i="6"/>
  <c r="AO120" i="6"/>
  <c r="AM70" i="6"/>
  <c r="AO69" i="6"/>
  <c r="AM69" i="6"/>
  <c r="AQ114" i="5"/>
  <c r="AQ111" i="5"/>
  <c r="AQ112" i="5"/>
  <c r="AQ113" i="5"/>
  <c r="AQ110" i="5"/>
  <c r="AN111" i="5"/>
  <c r="AN112" i="5"/>
  <c r="AN113" i="5"/>
  <c r="AN114" i="5"/>
  <c r="AN109" i="5"/>
  <c r="AN110" i="5"/>
  <c r="AL110" i="5"/>
  <c r="AL111" i="5"/>
  <c r="AL112" i="5"/>
  <c r="AL109" i="5"/>
  <c r="AO89" i="5"/>
  <c r="AQ88" i="5"/>
  <c r="AO88" i="5"/>
  <c r="AL47" i="5"/>
  <c r="AL46" i="5"/>
  <c r="AL45" i="5"/>
  <c r="AL44" i="5"/>
  <c r="AL43" i="5"/>
  <c r="AL34" i="5"/>
  <c r="AL33" i="5"/>
  <c r="AL32" i="5"/>
  <c r="AL31" i="5"/>
  <c r="AL30" i="5"/>
  <c r="AD117" i="6"/>
  <c r="AD45" i="6"/>
  <c r="AD46" i="6"/>
  <c r="AD47" i="6"/>
  <c r="AD48" i="6"/>
  <c r="AD49" i="6"/>
  <c r="AD44" i="6"/>
  <c r="AD40" i="6"/>
  <c r="N79" i="5"/>
  <c r="L49" i="6" s="1"/>
  <c r="N78" i="5"/>
  <c r="L48" i="6" s="1"/>
  <c r="N77" i="5"/>
  <c r="L47" i="6" s="1"/>
  <c r="N76" i="5"/>
  <c r="L46" i="6" s="1"/>
  <c r="N75" i="5"/>
  <c r="L45" i="6" s="1"/>
  <c r="N73" i="5"/>
  <c r="L44" i="6" s="1"/>
  <c r="N71" i="5"/>
  <c r="L40" i="6" s="1"/>
  <c r="AM116" i="5"/>
  <c r="AO119" i="6" l="1"/>
  <c r="AL108" i="5"/>
  <c r="AR110" i="5"/>
  <c r="AR113" i="5"/>
  <c r="AR114" i="5"/>
  <c r="AR109" i="5"/>
  <c r="AR111" i="5"/>
  <c r="AR112" i="5"/>
  <c r="L198" i="5"/>
  <c r="AL198" i="5" s="1"/>
  <c r="AL199" i="5"/>
  <c r="AQ119" i="6"/>
  <c r="M210" i="6" s="1"/>
  <c r="AQ108" i="5"/>
  <c r="L197" i="5" s="1"/>
  <c r="AL197" i="5" s="1"/>
  <c r="AN108" i="5"/>
  <c r="L196" i="5" s="1"/>
  <c r="C116" i="6"/>
  <c r="F46" i="5"/>
  <c r="F33" i="5"/>
  <c r="C124" i="6"/>
  <c r="C113" i="5"/>
  <c r="C114" i="6"/>
  <c r="F44" i="5"/>
  <c r="F31" i="5"/>
  <c r="C122" i="6"/>
  <c r="C111" i="5"/>
  <c r="F32" i="5"/>
  <c r="F45" i="5"/>
  <c r="C115" i="6"/>
  <c r="C123" i="6"/>
  <c r="C112" i="5"/>
  <c r="C109" i="5"/>
  <c r="C120" i="6"/>
  <c r="F42" i="5"/>
  <c r="F29" i="5"/>
  <c r="C112" i="6"/>
  <c r="C121" i="6"/>
  <c r="C110" i="5"/>
  <c r="F30" i="5"/>
  <c r="C113" i="6"/>
  <c r="F43" i="5"/>
  <c r="J13" i="2"/>
  <c r="AM114" i="5"/>
  <c r="AM108" i="5" s="1"/>
  <c r="AL41" i="5"/>
  <c r="AL28" i="5"/>
  <c r="AP110" i="6"/>
  <c r="AT121" i="6" l="1"/>
  <c r="AT124" i="6"/>
  <c r="AT125" i="6"/>
  <c r="AT120" i="6"/>
  <c r="AT122" i="6"/>
  <c r="AT123" i="6"/>
  <c r="AP125" i="6"/>
  <c r="AP119" i="6" s="1"/>
  <c r="AR108" i="5"/>
  <c r="AM6" i="6"/>
  <c r="AM210" i="6"/>
  <c r="AM211" i="6"/>
  <c r="AO71" i="6"/>
  <c r="AO70" i="6"/>
  <c r="AM71" i="6"/>
  <c r="L194" i="5" l="1"/>
  <c r="AL194" i="5" s="1"/>
  <c r="AT119" i="6"/>
  <c r="M207" i="6" s="1"/>
  <c r="AM68" i="6"/>
  <c r="M190" i="6" s="1"/>
  <c r="AO127" i="6"/>
  <c r="AM191" i="6" l="1"/>
  <c r="J80" i="6"/>
  <c r="AL192" i="5" l="1"/>
  <c r="R27" i="6"/>
  <c r="O27" i="6"/>
  <c r="I114" i="6" l="1"/>
  <c r="AM195" i="6"/>
  <c r="AO95" i="5"/>
  <c r="AN95" i="5"/>
  <c r="AE160" i="5"/>
  <c r="AE159" i="5"/>
  <c r="D159" i="5"/>
  <c r="AM122" i="6" l="1"/>
  <c r="AL187" i="5"/>
  <c r="AB10" i="6" l="1"/>
  <c r="B158" i="5"/>
  <c r="B104" i="5"/>
  <c r="B53" i="5"/>
  <c r="B152" i="6"/>
  <c r="B106" i="6"/>
  <c r="B57" i="6"/>
  <c r="G15" i="2" l="1"/>
  <c r="AA20" i="5" s="1"/>
  <c r="AW19" i="5"/>
  <c r="D163" i="5"/>
  <c r="AY32" i="6"/>
  <c r="AW45" i="6"/>
  <c r="AM144" i="6"/>
  <c r="AN42" i="6"/>
  <c r="AM33" i="6"/>
  <c r="AM32" i="6"/>
  <c r="AL65" i="5" l="1"/>
  <c r="AL64" i="5"/>
  <c r="E32" i="6"/>
  <c r="AL17" i="5"/>
  <c r="W21" i="5" s="1"/>
  <c r="AL61" i="5"/>
  <c r="G25" i="6"/>
  <c r="AM23" i="6"/>
  <c r="P24" i="5"/>
  <c r="L24" i="5"/>
  <c r="W17" i="5" l="1"/>
  <c r="W20" i="5"/>
  <c r="BO1" i="6"/>
  <c r="AG153" i="6" l="1"/>
  <c r="AG107" i="6"/>
  <c r="AN27" i="6"/>
  <c r="AM27" i="6"/>
  <c r="AN23" i="6"/>
  <c r="AH117" i="6" l="1"/>
  <c r="AH116" i="6"/>
  <c r="AH115" i="6"/>
  <c r="AH114" i="6"/>
  <c r="AH113" i="6"/>
  <c r="AH112" i="6"/>
  <c r="AG58" i="6"/>
  <c r="U117" i="6"/>
  <c r="U116" i="6"/>
  <c r="U115" i="6"/>
  <c r="U114" i="6"/>
  <c r="U113" i="6"/>
  <c r="U112" i="6"/>
  <c r="Q117" i="6"/>
  <c r="Q116" i="6"/>
  <c r="Q115" i="6"/>
  <c r="Q114" i="6"/>
  <c r="Q113" i="6"/>
  <c r="Q112" i="6"/>
  <c r="M117" i="6"/>
  <c r="AN125" i="6" s="1"/>
  <c r="M116" i="6"/>
  <c r="AN124" i="6" s="1"/>
  <c r="M115" i="6"/>
  <c r="AN123" i="6" s="1"/>
  <c r="M114" i="6"/>
  <c r="AN122" i="6" s="1"/>
  <c r="M113" i="6"/>
  <c r="AN121" i="6" s="1"/>
  <c r="M112" i="6"/>
  <c r="AN120" i="6" s="1"/>
  <c r="M93" i="6"/>
  <c r="M94" i="6"/>
  <c r="M95" i="6"/>
  <c r="M96" i="6"/>
  <c r="M97" i="6"/>
  <c r="M98" i="6"/>
  <c r="G93" i="6"/>
  <c r="G95" i="6"/>
  <c r="G96" i="6"/>
  <c r="G97" i="6"/>
  <c r="G98" i="6"/>
  <c r="B93" i="6"/>
  <c r="B94" i="6"/>
  <c r="B95" i="6"/>
  <c r="B96" i="6"/>
  <c r="B97" i="6"/>
  <c r="B98" i="6"/>
  <c r="M92" i="6"/>
  <c r="G92" i="6"/>
  <c r="B92" i="6"/>
  <c r="M86" i="6"/>
  <c r="M87" i="6"/>
  <c r="M88" i="6"/>
  <c r="M89" i="6"/>
  <c r="M90" i="6"/>
  <c r="G91" i="6"/>
  <c r="G90" i="6"/>
  <c r="G89" i="6"/>
  <c r="G88" i="6"/>
  <c r="G87" i="6"/>
  <c r="G86" i="6"/>
  <c r="B91" i="6"/>
  <c r="B90" i="6"/>
  <c r="B89" i="6"/>
  <c r="B88" i="6"/>
  <c r="B87" i="6"/>
  <c r="B86" i="6"/>
  <c r="Q49" i="6"/>
  <c r="M49" i="6"/>
  <c r="I49" i="6"/>
  <c r="E49" i="6"/>
  <c r="Q48" i="6"/>
  <c r="M48" i="6"/>
  <c r="I48" i="6"/>
  <c r="E48" i="6"/>
  <c r="Q47" i="6"/>
  <c r="M47" i="6"/>
  <c r="I47" i="6"/>
  <c r="E47" i="6"/>
  <c r="Q46" i="6"/>
  <c r="M46" i="6"/>
  <c r="I46" i="6"/>
  <c r="E46" i="6"/>
  <c r="Q45" i="6"/>
  <c r="M45" i="6"/>
  <c r="I45" i="6"/>
  <c r="E45" i="6"/>
  <c r="Q44" i="6"/>
  <c r="M44" i="6"/>
  <c r="I44" i="6"/>
  <c r="E44" i="6"/>
  <c r="Q40" i="6"/>
  <c r="M40" i="6"/>
  <c r="I40" i="6"/>
  <c r="E40" i="6"/>
  <c r="D49" i="6"/>
  <c r="D48" i="6"/>
  <c r="D47" i="6"/>
  <c r="D46" i="6"/>
  <c r="D45" i="6"/>
  <c r="D44" i="6"/>
  <c r="H27" i="6"/>
  <c r="E27" i="6"/>
  <c r="AL59" i="5"/>
  <c r="AM59" i="5"/>
  <c r="Q39" i="6"/>
  <c r="M39" i="6"/>
  <c r="I39" i="6"/>
  <c r="E39" i="6"/>
  <c r="E31" i="6"/>
  <c r="AM73" i="5"/>
  <c r="AM75" i="5"/>
  <c r="K23" i="6"/>
  <c r="G23" i="6"/>
  <c r="G21" i="6"/>
  <c r="G18" i="6"/>
  <c r="G20" i="6"/>
  <c r="G17" i="6"/>
  <c r="G19" i="6"/>
  <c r="G16" i="6"/>
  <c r="AO117" i="6" l="1"/>
  <c r="AN117" i="6"/>
  <c r="AO116" i="6"/>
  <c r="AN116" i="6"/>
  <c r="AO115" i="6"/>
  <c r="AN115" i="6"/>
  <c r="AO114" i="6"/>
  <c r="AN114" i="6"/>
  <c r="AO113" i="6"/>
  <c r="AN113" i="6"/>
  <c r="AO112" i="6"/>
  <c r="AN112" i="6"/>
  <c r="AM114" i="6"/>
  <c r="N31" i="6"/>
  <c r="AN144" i="6" l="1"/>
  <c r="AO98" i="6"/>
  <c r="AO97" i="6"/>
  <c r="AO96" i="6"/>
  <c r="AO95" i="6"/>
  <c r="AO94" i="6"/>
  <c r="AO93" i="6"/>
  <c r="AO92" i="6"/>
  <c r="AO91" i="6"/>
  <c r="AO90" i="6"/>
  <c r="AO89" i="6"/>
  <c r="AO88" i="6"/>
  <c r="AO87" i="6"/>
  <c r="AO86" i="6"/>
  <c r="AO85" i="6"/>
  <c r="AN85" i="6"/>
  <c r="AM85" i="6"/>
  <c r="AM75" i="6"/>
  <c r="I75" i="6"/>
  <c r="AM74" i="6"/>
  <c r="I74" i="6"/>
  <c r="O71" i="6"/>
  <c r="E71" i="6"/>
  <c r="O70" i="6"/>
  <c r="E70" i="6"/>
  <c r="O69" i="6"/>
  <c r="E69" i="6"/>
  <c r="AM50" i="6"/>
  <c r="AM49" i="6"/>
  <c r="AM48" i="6"/>
  <c r="AM47" i="6"/>
  <c r="AM46" i="6"/>
  <c r="AM45" i="6"/>
  <c r="AM44" i="6"/>
  <c r="AM42" i="6"/>
  <c r="I42" i="6"/>
  <c r="E42" i="6"/>
  <c r="AM40" i="6"/>
  <c r="AM39" i="6"/>
  <c r="AM36" i="6"/>
  <c r="I36" i="6"/>
  <c r="E36" i="6"/>
  <c r="N34" i="6"/>
  <c r="E34" i="6"/>
  <c r="N33" i="6"/>
  <c r="E33" i="6"/>
  <c r="AF8" i="6"/>
  <c r="AG203" i="6" s="1"/>
  <c r="E8" i="6"/>
  <c r="E7" i="6"/>
  <c r="D202" i="6" s="1"/>
  <c r="AO75" i="6" l="1"/>
  <c r="AG154" i="6"/>
  <c r="D58" i="6"/>
  <c r="D153" i="6"/>
  <c r="AG108" i="6"/>
  <c r="AS119" i="6"/>
  <c r="M209" i="6" s="1"/>
  <c r="AM207" i="6"/>
  <c r="AG59" i="6"/>
  <c r="D107" i="6"/>
  <c r="AM57" i="5"/>
  <c r="AM56" i="5"/>
  <c r="AL67" i="5"/>
  <c r="AL56" i="5"/>
  <c r="AM61" i="5"/>
  <c r="AM58" i="5" l="1"/>
  <c r="Y58" i="5" s="1"/>
  <c r="AM209" i="6"/>
  <c r="M208" i="6"/>
  <c r="AM208" i="6" s="1"/>
  <c r="M206" i="6"/>
  <c r="AM206" i="6" s="1"/>
  <c r="AM190" i="6"/>
  <c r="AN119" i="6"/>
  <c r="AN16" i="6" l="1"/>
  <c r="AA100" i="5"/>
  <c r="AA98" i="5"/>
  <c r="AA97" i="5"/>
  <c r="AA96" i="5"/>
  <c r="K96" i="5"/>
  <c r="K97" i="5"/>
  <c r="K98" i="5"/>
  <c r="K99" i="5"/>
  <c r="AA101" i="5"/>
  <c r="AA99" i="5"/>
  <c r="K95" i="5"/>
  <c r="AO83" i="6" s="1" a="1"/>
  <c r="AO83" i="6" s="1"/>
  <c r="AM84" i="6" s="1"/>
  <c r="AA95" i="5"/>
  <c r="K100" i="5"/>
  <c r="K101" i="5"/>
  <c r="AG97" i="5"/>
  <c r="AG98" i="5"/>
  <c r="AG99" i="5"/>
  <c r="AG100" i="5"/>
  <c r="Q95" i="5"/>
  <c r="AO84" i="6" s="1" a="1"/>
  <c r="AO84" i="6" s="1"/>
  <c r="Q96" i="5"/>
  <c r="Q97" i="5"/>
  <c r="Q98" i="5"/>
  <c r="Q99" i="5"/>
  <c r="Q100" i="5"/>
  <c r="AG96" i="5"/>
  <c r="Q101" i="5"/>
  <c r="AG95" i="5"/>
  <c r="AG101" i="5"/>
  <c r="M197" i="6"/>
  <c r="AM197" i="6" s="1"/>
  <c r="Y61" i="5"/>
  <c r="K25" i="6" s="1"/>
  <c r="AE25" i="6" s="1"/>
  <c r="K20" i="6"/>
  <c r="AE20" i="6" s="1"/>
  <c r="Y59" i="5"/>
  <c r="K21" i="6" s="1"/>
  <c r="AE21" i="6" s="1"/>
  <c r="W19" i="5"/>
  <c r="AM92" i="5"/>
  <c r="AM91" i="5"/>
  <c r="AS88" i="5"/>
  <c r="AM89" i="5"/>
  <c r="AM47" i="5"/>
  <c r="AM46" i="5"/>
  <c r="AM45" i="5"/>
  <c r="AM44" i="5"/>
  <c r="AM43" i="5"/>
  <c r="AM42" i="5"/>
  <c r="AM30" i="5"/>
  <c r="AM31" i="5"/>
  <c r="AM32" i="5"/>
  <c r="AM33" i="5"/>
  <c r="AM34" i="5"/>
  <c r="AM29" i="5"/>
  <c r="AM88" i="5"/>
  <c r="AO91" i="5" l="1"/>
  <c r="AE96" i="6"/>
  <c r="AE87" i="6"/>
  <c r="AE85" i="6"/>
  <c r="AE95" i="6"/>
  <c r="AE86" i="6"/>
  <c r="AE94" i="6"/>
  <c r="AE93" i="6"/>
  <c r="AE92" i="6"/>
  <c r="AE91" i="6"/>
  <c r="AE90" i="6"/>
  <c r="AE98" i="6"/>
  <c r="AE89" i="6"/>
  <c r="AE97" i="6"/>
  <c r="AE88" i="6"/>
  <c r="AK91" i="6"/>
  <c r="Q92" i="6"/>
  <c r="AK97" i="6"/>
  <c r="Q86" i="6"/>
  <c r="AK90" i="6"/>
  <c r="Q93" i="6"/>
  <c r="AK89" i="6"/>
  <c r="Q94" i="6"/>
  <c r="AK88" i="6"/>
  <c r="Q95" i="6"/>
  <c r="AK98" i="6"/>
  <c r="AK96" i="6"/>
  <c r="AK87" i="6"/>
  <c r="Q87" i="6"/>
  <c r="Q96" i="6"/>
  <c r="Q90" i="6"/>
  <c r="Q91" i="6"/>
  <c r="AK95" i="6"/>
  <c r="AK86" i="6"/>
  <c r="Q88" i="6"/>
  <c r="Q97" i="6"/>
  <c r="AK92" i="6"/>
  <c r="AK94" i="6"/>
  <c r="AK85" i="6"/>
  <c r="Q89" i="6"/>
  <c r="Q98" i="6"/>
  <c r="AK93" i="6"/>
  <c r="Q85" i="6"/>
  <c r="K86" i="6"/>
  <c r="K95" i="6"/>
  <c r="K87" i="6"/>
  <c r="K96" i="6"/>
  <c r="K88" i="6"/>
  <c r="K97" i="6"/>
  <c r="K89" i="6"/>
  <c r="K98" i="6"/>
  <c r="K85" i="6"/>
  <c r="K90" i="6"/>
  <c r="K91" i="6"/>
  <c r="K92" i="6"/>
  <c r="K93" i="6"/>
  <c r="K94" i="6"/>
  <c r="AM87" i="5"/>
  <c r="L186" i="5" s="1"/>
  <c r="AL186" i="5" s="1"/>
  <c r="AL189" i="5"/>
  <c r="I112" i="6"/>
  <c r="AL87" i="5"/>
  <c r="AL63" i="5"/>
  <c r="AB37" i="5"/>
  <c r="X37" i="5"/>
  <c r="T37" i="5"/>
  <c r="P37" i="5"/>
  <c r="L37" i="5"/>
  <c r="AB24" i="5"/>
  <c r="X24" i="5"/>
  <c r="T24" i="5"/>
  <c r="AL96" i="5"/>
  <c r="AM96" i="5"/>
  <c r="AL97" i="5"/>
  <c r="AM97" i="5"/>
  <c r="AL98" i="5"/>
  <c r="AM98" i="5"/>
  <c r="AL99" i="5"/>
  <c r="AM99" i="5"/>
  <c r="AL100" i="5"/>
  <c r="AM100" i="5"/>
  <c r="AL101" i="5"/>
  <c r="AM101" i="5"/>
  <c r="AM95" i="5"/>
  <c r="AL95" i="5"/>
  <c r="AM71" i="5"/>
  <c r="AL71" i="5"/>
  <c r="AL69" i="5"/>
  <c r="AM65" i="5"/>
  <c r="AE106" i="5"/>
  <c r="AE105" i="5"/>
  <c r="D105" i="5"/>
  <c r="AE55" i="5"/>
  <c r="AE54" i="5"/>
  <c r="D54" i="5"/>
  <c r="J79" i="6"/>
  <c r="BN1" i="5"/>
  <c r="AM120" i="6" l="1"/>
  <c r="AM112" i="6"/>
  <c r="AO79" i="6"/>
  <c r="AO80" i="6"/>
  <c r="M194" i="6" s="1"/>
  <c r="AM194" i="6" s="1"/>
  <c r="L188" i="5"/>
  <c r="AL188" i="5" s="1"/>
  <c r="I117" i="6"/>
  <c r="I116" i="6"/>
  <c r="I115" i="6"/>
  <c r="I113" i="6"/>
  <c r="AM28" i="5"/>
  <c r="L182" i="5" s="1"/>
  <c r="L195" i="5"/>
  <c r="AM41" i="5"/>
  <c r="L183" i="5" s="1"/>
  <c r="AM125" i="6" l="1"/>
  <c r="AM117" i="6"/>
  <c r="AM124" i="6"/>
  <c r="AM116" i="6"/>
  <c r="AM123" i="6"/>
  <c r="AM115" i="6"/>
  <c r="AM121" i="6"/>
  <c r="AM113" i="6"/>
  <c r="AL195" i="5"/>
  <c r="L193" i="5"/>
  <c r="AL193" i="5" s="1"/>
  <c r="AL183" i="5"/>
  <c r="AL182" i="5"/>
  <c r="H102" i="5"/>
  <c r="AM103" i="5" l="1"/>
  <c r="AM102" i="5"/>
  <c r="L190" i="5" l="1"/>
  <c r="AL190" i="5" s="1"/>
  <c r="AL196" i="5"/>
  <c r="AM119" i="6"/>
  <c r="AL180" i="5" l="1"/>
  <c r="M196" i="6"/>
  <c r="AM196" i="6" s="1"/>
  <c r="M192" i="6" l="1"/>
  <c r="AM192" i="6" s="1"/>
  <c r="AM189" i="6" s="1"/>
  <c r="A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C6" authorId="0" shapeId="0" xr:uid="{8257FD01-E45E-4417-A762-D511FF73D730}">
      <text>
        <r>
          <rPr>
            <b/>
            <sz val="9"/>
            <color indexed="81"/>
            <rFont val="Tahoma"/>
            <family val="2"/>
          </rPr>
          <t xml:space="preserve">Note:  </t>
        </r>
        <r>
          <rPr>
            <sz val="9"/>
            <color indexed="81"/>
            <rFont val="Tahoma"/>
            <family val="2"/>
          </rPr>
          <t xml:space="preserve">Enter the parcel number with no spaces as shown below: 1234567891234.560
</t>
        </r>
      </text>
    </comment>
    <comment ref="AA15" authorId="1" shapeId="0" xr:uid="{26453612-1BCB-4486-BD63-245986490C03}">
      <text>
        <r>
          <rPr>
            <b/>
            <sz val="9"/>
            <color indexed="81"/>
            <rFont val="Tahoma"/>
            <family val="2"/>
          </rPr>
          <t>Note:</t>
        </r>
        <r>
          <rPr>
            <sz val="9"/>
            <color indexed="81"/>
            <rFont val="Tahoma"/>
            <family val="2"/>
          </rPr>
          <t xml:space="preserve">
If there is no EIA, enter 0</t>
        </r>
      </text>
    </comment>
    <comment ref="C73" authorId="1" shapeId="0" xr:uid="{7606F0DD-2BCC-467D-9CD8-3F39D8086A9C}">
      <text>
        <r>
          <rPr>
            <b/>
            <sz val="9"/>
            <color indexed="81"/>
            <rFont val="Tahoma"/>
            <family val="2"/>
          </rPr>
          <t>Note:</t>
        </r>
        <r>
          <rPr>
            <sz val="9"/>
            <color indexed="81"/>
            <rFont val="Tahoma"/>
            <family val="2"/>
          </rPr>
          <t xml:space="preserve">
Select control structure type:  Orifice or Weir</t>
        </r>
      </text>
    </comment>
    <comment ref="C95" authorId="1" shapeId="0" xr:uid="{83CA26DA-EF06-47E0-9A5C-4276ABB509C1}">
      <text>
        <r>
          <rPr>
            <b/>
            <sz val="9"/>
            <color indexed="81"/>
            <rFont val="Tahoma"/>
            <family val="2"/>
          </rPr>
          <t>Note:</t>
        </r>
        <r>
          <rPr>
            <sz val="9"/>
            <color indexed="81"/>
            <rFont val="Tahoma"/>
            <family val="2"/>
          </rPr>
          <t xml:space="preserve">
Include the elevation that represents the WQv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BDS</author>
  </authors>
  <commentList>
    <comment ref="AE20" authorId="0" shapeId="0" xr:uid="{F76BD018-022F-47CF-A1F2-E251A08B9C25}">
      <text>
        <r>
          <rPr>
            <b/>
            <sz val="9"/>
            <color indexed="81"/>
            <rFont val="Tahoma"/>
            <family val="2"/>
          </rPr>
          <t>Note:</t>
        </r>
        <r>
          <rPr>
            <sz val="9"/>
            <color indexed="81"/>
            <rFont val="Tahoma"/>
            <family val="2"/>
          </rPr>
          <t xml:space="preserve">
Units must be selected on the Design Form</t>
        </r>
      </text>
    </comment>
    <comment ref="V85" authorId="0" shapeId="0" xr:uid="{618ADD65-A033-4CF2-B077-6565CBECBC15}">
      <text>
        <r>
          <rPr>
            <b/>
            <sz val="9"/>
            <color indexed="81"/>
            <rFont val="Tahoma"/>
            <family val="2"/>
          </rPr>
          <t>Note:</t>
        </r>
        <r>
          <rPr>
            <sz val="9"/>
            <color indexed="81"/>
            <rFont val="Tahoma"/>
            <family val="2"/>
          </rPr>
          <t xml:space="preserve">
Include the elevation that represents the WQv</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<sst xmlns="http://schemas.openxmlformats.org/spreadsheetml/2006/main" count="1108" uniqueCount="543">
  <si>
    <t>Development Information</t>
  </si>
  <si>
    <t>Name:</t>
  </si>
  <si>
    <t>Proposed Impervious Area (PIA)</t>
  </si>
  <si>
    <t>Pre-Development</t>
  </si>
  <si>
    <t>Curve Number:</t>
  </si>
  <si>
    <t>(WQ)</t>
  </si>
  <si>
    <t>(2-yr)</t>
  </si>
  <si>
    <t>(5-yr)</t>
  </si>
  <si>
    <t>(10-yr)</t>
  </si>
  <si>
    <t>(25-yr)</t>
  </si>
  <si>
    <t>(100-yr)</t>
  </si>
  <si>
    <t>Post-Development</t>
  </si>
  <si>
    <t>Post Total</t>
  </si>
  <si>
    <t>Pre Total</t>
  </si>
  <si>
    <t>Outfall Location</t>
  </si>
  <si>
    <t>Elevation</t>
  </si>
  <si>
    <t>Area</t>
  </si>
  <si>
    <t>Professional Engineer Certification</t>
  </si>
  <si>
    <t>Address:</t>
  </si>
  <si>
    <t>Date:</t>
  </si>
  <si>
    <t>Comments:</t>
  </si>
  <si>
    <t>Material</t>
  </si>
  <si>
    <t>Concrete</t>
  </si>
  <si>
    <t>Metal</t>
  </si>
  <si>
    <t>HDPP</t>
  </si>
  <si>
    <t>PVC</t>
  </si>
  <si>
    <t>HDPE</t>
  </si>
  <si>
    <t>Material:</t>
  </si>
  <si>
    <t>Other</t>
  </si>
  <si>
    <t>Select</t>
  </si>
  <si>
    <t>Shape:</t>
  </si>
  <si>
    <t>Shape</t>
  </si>
  <si>
    <t>BMP ID:</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</si>
  <si>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</si>
  <si>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</si>
  <si>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</si>
  <si>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t>Width:</t>
  </si>
  <si>
    <t>Inv. EL</t>
  </si>
  <si>
    <t>in</t>
  </si>
  <si>
    <t>ft</t>
  </si>
  <si>
    <t>Length:</t>
  </si>
  <si>
    <t>Top EL.:</t>
  </si>
  <si>
    <t>Crest EL.:</t>
  </si>
  <si>
    <t>Latitude:</t>
  </si>
  <si>
    <t>Longitude:</t>
  </si>
  <si>
    <t>Basin ID:</t>
  </si>
  <si>
    <t>Cumulative Vol.</t>
  </si>
  <si>
    <t>Width</t>
  </si>
  <si>
    <t>Time of Concentration (min):</t>
  </si>
  <si>
    <t>Additional Impervious Area (AIA) = PIA - EIA</t>
  </si>
  <si>
    <t>AIA =</t>
  </si>
  <si>
    <t>Design</t>
  </si>
  <si>
    <t>As-Built</t>
  </si>
  <si>
    <t>Water Quality Volume (WQv)</t>
  </si>
  <si>
    <t>WQv Required:</t>
  </si>
  <si>
    <t>WQv Provided:</t>
  </si>
  <si>
    <r>
      <t>Pre Q
(ft</t>
    </r>
    <r>
      <rPr>
        <vertAlign val="superscript"/>
        <sz val="8"/>
        <color theme="1"/>
        <rFont val="Calibri"/>
        <family val="2"/>
      </rPr>
      <t>3</t>
    </r>
    <r>
      <rPr>
        <sz val="10"/>
        <color theme="1"/>
        <rFont val="Calibri"/>
        <family val="2"/>
        <scheme val="minor"/>
      </rPr>
      <t>/s)</t>
    </r>
  </si>
  <si>
    <r>
      <t>Pond Out 
Q (ft</t>
    </r>
    <r>
      <rPr>
        <vertAlign val="superscript"/>
        <sz val="8"/>
        <color theme="1"/>
        <rFont val="Calibri"/>
        <family val="2"/>
      </rPr>
      <t>3</t>
    </r>
    <r>
      <rPr>
        <sz val="10"/>
        <color theme="1"/>
        <rFont val="Calibri"/>
        <family val="2"/>
        <scheme val="minor"/>
      </rPr>
      <t>/s)</t>
    </r>
  </si>
  <si>
    <r>
      <t>Total Post 
Q (ft</t>
    </r>
    <r>
      <rPr>
        <vertAlign val="superscript"/>
        <sz val="8"/>
        <color theme="1"/>
        <rFont val="Calibri"/>
        <family val="2"/>
      </rPr>
      <t>3</t>
    </r>
    <r>
      <rPr>
        <sz val="10"/>
        <color theme="1"/>
        <rFont val="Calibri"/>
        <family val="2"/>
        <scheme val="minor"/>
      </rPr>
      <t>/s)</t>
    </r>
  </si>
  <si>
    <t>Type</t>
  </si>
  <si>
    <t>Enter data as applicable for the proposed design.</t>
  </si>
  <si>
    <t>General Instructions</t>
  </si>
  <si>
    <t>If a field is highlighted yellow after a number is entered, the yellow highlight may indicate an error and/or concern.  Once the error and/or concern is resolved, the yellow highlight will be removed.  All yellow highlighted cells shall be resolved or an explanitation provided prior to completing the form.</t>
  </si>
  <si>
    <t>Field Types</t>
  </si>
  <si>
    <t>Supplemental Instructions</t>
  </si>
  <si>
    <t>Use the drop down list to select a shape.</t>
  </si>
  <si>
    <t>Riprap</t>
  </si>
  <si>
    <t>Earthen</t>
  </si>
  <si>
    <t>Geotextile</t>
  </si>
  <si>
    <t>Total Post Q &gt; Pre Q</t>
  </si>
  <si>
    <t>Max Stage</t>
  </si>
  <si>
    <t>Total Post</t>
  </si>
  <si>
    <t>Post Total not completed</t>
  </si>
  <si>
    <t>Length</t>
  </si>
  <si>
    <t>Crest</t>
  </si>
  <si>
    <t>Top</t>
  </si>
  <si>
    <t>E. Spillway</t>
  </si>
  <si>
    <t>Design Response</t>
  </si>
  <si>
    <t>Emergency Spillway Section not completed</t>
  </si>
  <si>
    <t>Max Stage:</t>
  </si>
  <si>
    <t>Automated Review Checks</t>
  </si>
  <si>
    <t>Form Section</t>
  </si>
  <si>
    <t>Pre-Development:</t>
  </si>
  <si>
    <t>Post-Development:</t>
  </si>
  <si>
    <t>Emergency Spillway:</t>
  </si>
  <si>
    <t>Pond Discharge Summary:</t>
  </si>
  <si>
    <t>Total Post Q:</t>
  </si>
  <si>
    <t>Photographs, at a minimum, shall include the following:</t>
  </si>
  <si>
    <t>The developer / owner shall retain the services of a professional land surveyor to:</t>
  </si>
  <si>
    <t>Develop an as-built drawing.</t>
  </si>
  <si>
    <t>a.</t>
  </si>
  <si>
    <t>b.</t>
  </si>
  <si>
    <t>The developer shall retain the services of a professional engineer to:</t>
  </si>
  <si>
    <t>Photographs</t>
  </si>
  <si>
    <t>Storm sewers showing pipes, inlets, junction boxes, outlets, outlet protection, and invert elevations</t>
  </si>
  <si>
    <t>Detail of emergency spillway showing elevations and dimensions</t>
  </si>
  <si>
    <t>Outlet pipe discharge location and outlet protection</t>
  </si>
  <si>
    <t>Emergency spillway and discharge location</t>
  </si>
  <si>
    <t>Prior to approval of the Final Plat.</t>
  </si>
  <si>
    <t>Provide ALL required attachments:</t>
  </si>
  <si>
    <t>As-built survey, at a minimum, shall include the following:</t>
  </si>
  <si>
    <t>The issuance of a Certificate of Occupancy; and/or,</t>
  </si>
  <si>
    <t>e.</t>
  </si>
  <si>
    <t>c.</t>
  </si>
  <si>
    <t>d.</t>
  </si>
  <si>
    <t>f.</t>
  </si>
  <si>
    <t>•</t>
  </si>
  <si>
    <t>Outfall Location:</t>
  </si>
  <si>
    <t>Latitude and/or Longitude not provided</t>
  </si>
  <si>
    <t xml:space="preserve">This is a calculated field.  Once the required information is entered, the orange highlight will be removed. </t>
  </si>
  <si>
    <t>Use the drop down list to select a material.</t>
  </si>
  <si>
    <t>Pond Top EL.:</t>
  </si>
  <si>
    <t>General design standards and requirements shall be as follows:</t>
  </si>
  <si>
    <t xml:space="preserve"> As-built Survey</t>
  </si>
  <si>
    <t xml:space="preserve"> As-built H&amp;H Calculations</t>
  </si>
  <si>
    <t xml:space="preserve"> O&amp;M Agreement</t>
  </si>
  <si>
    <t>Attachments:</t>
  </si>
  <si>
    <t xml:space="preserve"> Yes</t>
  </si>
  <si>
    <t xml:space="preserve"> No</t>
  </si>
  <si>
    <r>
      <t>Pre Q
(ft</t>
    </r>
    <r>
      <rPr>
        <vertAlign val="superscript"/>
        <sz val="9"/>
        <color theme="1"/>
        <rFont val="Calibri"/>
        <family val="2"/>
      </rPr>
      <t>3</t>
    </r>
    <r>
      <rPr>
        <sz val="9"/>
        <color theme="1"/>
        <rFont val="Calibri"/>
        <family val="2"/>
        <scheme val="minor"/>
      </rPr>
      <t>/s)</t>
    </r>
  </si>
  <si>
    <r>
      <t>Pond In Q
(ft</t>
    </r>
    <r>
      <rPr>
        <vertAlign val="superscript"/>
        <sz val="9"/>
        <color theme="1"/>
        <rFont val="Calibri"/>
        <family val="2"/>
      </rPr>
      <t>3</t>
    </r>
    <r>
      <rPr>
        <sz val="9"/>
        <color theme="1"/>
        <rFont val="Calibri"/>
        <family val="2"/>
        <scheme val="minor"/>
      </rPr>
      <t>/s)</t>
    </r>
  </si>
  <si>
    <r>
      <t>Pond Out 
Q (ft</t>
    </r>
    <r>
      <rPr>
        <vertAlign val="superscript"/>
        <sz val="9"/>
        <color theme="1"/>
        <rFont val="Calibri"/>
        <family val="2"/>
      </rPr>
      <t>3</t>
    </r>
    <r>
      <rPr>
        <sz val="9"/>
        <color theme="1"/>
        <rFont val="Calibri"/>
        <family val="2"/>
        <scheme val="minor"/>
      </rPr>
      <t>/s)</t>
    </r>
  </si>
  <si>
    <r>
      <t>Total Post 
Q (ft</t>
    </r>
    <r>
      <rPr>
        <vertAlign val="superscript"/>
        <sz val="9"/>
        <color theme="1"/>
        <rFont val="Calibri"/>
        <family val="2"/>
      </rPr>
      <t>3</t>
    </r>
    <r>
      <rPr>
        <sz val="9"/>
        <color theme="1"/>
        <rFont val="Calibri"/>
        <family val="2"/>
        <scheme val="minor"/>
      </rPr>
      <t>/s)</t>
    </r>
  </si>
  <si>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</si>
  <si>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</si>
  <si>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</si>
  <si>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</si>
  <si>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</si>
  <si>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</si>
  <si>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</si>
  <si>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</si>
  <si>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</si>
  <si>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</si>
  <si>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</si>
  <si>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</si>
  <si>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</si>
  <si>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 xml:space="preserve">Detail Attached: </t>
  </si>
  <si>
    <t>No</t>
  </si>
  <si>
    <t>Lat</t>
  </si>
  <si>
    <t>Long</t>
  </si>
  <si>
    <t>Lat &amp; Long</t>
  </si>
  <si>
    <r>
      <t>WQ</t>
    </r>
    <r>
      <rPr>
        <vertAlign val="subscript"/>
        <sz val="10"/>
        <color theme="1"/>
        <rFont val="Calibri"/>
        <family val="2"/>
        <scheme val="minor"/>
      </rPr>
      <t>v</t>
    </r>
    <r>
      <rPr>
        <sz val="10"/>
        <color theme="1"/>
        <rFont val="Calibri"/>
        <family val="2"/>
        <scheme val="minor"/>
      </rPr>
      <t>:</t>
    </r>
  </si>
  <si>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</si>
  <si>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WQv</t>
  </si>
  <si>
    <t>Pre Q</t>
  </si>
  <si>
    <t>Pond In Q</t>
  </si>
  <si>
    <t>Pre Q:</t>
  </si>
  <si>
    <t>Pond In Q:</t>
  </si>
  <si>
    <t>Montgomery</t>
  </si>
  <si>
    <t>Hoover</t>
  </si>
  <si>
    <t>Prattville</t>
  </si>
  <si>
    <t>Mobile</t>
  </si>
  <si>
    <t xml:space="preserve">Select City: </t>
  </si>
  <si>
    <t>Retention Pond</t>
  </si>
  <si>
    <t xml:space="preserve">Max. Pool EL: </t>
  </si>
  <si>
    <t xml:space="preserve">Normal Pool EL: </t>
  </si>
  <si>
    <t xml:space="preserve"> ac, ac-ft</t>
  </si>
  <si>
    <t xml:space="preserve">Pond Bottom EL: </t>
  </si>
  <si>
    <t xml:space="preserve">Pond Surface Area: </t>
  </si>
  <si>
    <t xml:space="preserve">Pond Volume: </t>
  </si>
  <si>
    <t xml:space="preserve">Forebay Volume: </t>
  </si>
  <si>
    <t xml:space="preserve">Select Units: </t>
  </si>
  <si>
    <t xml:space="preserve">Anti-seep Collar: </t>
  </si>
  <si>
    <t xml:space="preserve">Trash Rack: </t>
  </si>
  <si>
    <t xml:space="preserve">Pond Drain: </t>
  </si>
  <si>
    <t xml:space="preserve">Drain Valve: </t>
  </si>
  <si>
    <t xml:space="preserve"> ft, sq-ft, cu-ft</t>
  </si>
  <si>
    <t>Specific requirements for stormwater retention (wet) ponds:</t>
  </si>
  <si>
    <t>Maximum side slope steepness shall be 3 horizontal to 1 vertical (3:1);</t>
  </si>
  <si>
    <t>Sides and banks shall be grassed or paved;</t>
  </si>
  <si>
    <t xml:space="preserve">Access Road: </t>
  </si>
  <si>
    <t xml:space="preserve">Bottom EL: </t>
  </si>
  <si>
    <t xml:space="preserve">Surface Area: </t>
  </si>
  <si>
    <t xml:space="preserve">Forebay: </t>
  </si>
  <si>
    <t xml:space="preserve">Fence: </t>
  </si>
  <si>
    <t>Yes</t>
  </si>
  <si>
    <t xml:space="preserve">Valve: </t>
  </si>
  <si>
    <t xml:space="preserve">WQv Orifice: </t>
  </si>
  <si>
    <t xml:space="preserve">Outlet Pipe: </t>
  </si>
  <si>
    <t xml:space="preserve">Bottom EL.: </t>
  </si>
  <si>
    <t xml:space="preserve">Width: </t>
  </si>
  <si>
    <t xml:space="preserve">Diameter: </t>
  </si>
  <si>
    <t xml:space="preserve">Material: </t>
  </si>
  <si>
    <t xml:space="preserve">Shape: </t>
  </si>
  <si>
    <t xml:space="preserve">Length: </t>
  </si>
  <si>
    <t xml:space="preserve">Top EL.: </t>
  </si>
  <si>
    <t>Round</t>
  </si>
  <si>
    <t>Rectangle</t>
  </si>
  <si>
    <t>Trapezoid</t>
  </si>
  <si>
    <t>Square</t>
  </si>
  <si>
    <t xml:space="preserve"> Photographs</t>
  </si>
  <si>
    <t xml:space="preserve">Date: </t>
  </si>
  <si>
    <t xml:space="preserve">BMP ID: </t>
  </si>
  <si>
    <t xml:space="preserve">Latitude: </t>
  </si>
  <si>
    <t xml:space="preserve">Longitude: </t>
  </si>
  <si>
    <t xml:space="preserve">Company: </t>
  </si>
  <si>
    <t xml:space="preserve">Signature: </t>
  </si>
  <si>
    <t xml:space="preserve">WQv Pool EL: </t>
  </si>
  <si>
    <t>Use the as-built survey data to complete Form 3B – Retention Pond As-built Certification Form;</t>
  </si>
  <si>
    <t>Perform a field survey of the constructed retention pond; and,</t>
  </si>
  <si>
    <t>Form 3B - Retention Pond
As-Built Certification Form</t>
  </si>
  <si>
    <t xml:space="preserve">Select: </t>
  </si>
  <si>
    <t xml:space="preserve">Orifice: </t>
  </si>
  <si>
    <t xml:space="preserve">Crest EL: </t>
  </si>
  <si>
    <t xml:space="preserve">Buildings / Structures: </t>
  </si>
  <si>
    <t xml:space="preserve">Driveways / Sidewalks: </t>
  </si>
  <si>
    <t xml:space="preserve">Roads: </t>
  </si>
  <si>
    <t xml:space="preserve">Parking: </t>
  </si>
  <si>
    <t xml:space="preserve">Other: </t>
  </si>
  <si>
    <t xml:space="preserve">Total PIA: </t>
  </si>
  <si>
    <t>Select either "Yes" or "No" by placing an "X" in the appropriate box.  Once an "X" is entered, the green highlight will be removed.</t>
  </si>
  <si>
    <t>Automated Review Checks:  Once information and data are entered into the form, the form will check the information entered and identify any potential issues or concerns.  Prior to printing the form, all automated comments shall be resolved.</t>
  </si>
  <si>
    <t>Automated Comments</t>
  </si>
  <si>
    <t>The Supplemental Instructions provide additional guidance and design standards.</t>
  </si>
  <si>
    <t>Once the Design, As-built, or Inspection Forms are completed, there should be no green, yellow, or orange highlighted fields.</t>
  </si>
  <si>
    <t xml:space="preserve">General overview of the retention pond </t>
  </si>
  <si>
    <t>Pipes that discharge into the retention pond</t>
  </si>
  <si>
    <t>Location where retention pond discharges into receiving stream, culvert, or channel</t>
  </si>
  <si>
    <t>Revision Date:</t>
  </si>
  <si>
    <t>Page 1 of 4</t>
  </si>
  <si>
    <t>Page 4 of 4</t>
  </si>
  <si>
    <t>Page 3 of 4</t>
  </si>
  <si>
    <t>Page 2 of 4</t>
  </si>
  <si>
    <t>Jefferson</t>
  </si>
  <si>
    <t>Velocity
(ft/s)</t>
  </si>
  <si>
    <t>Velocity:</t>
  </si>
  <si>
    <t>Effective Date:</t>
  </si>
  <si>
    <t>1 February 2020</t>
  </si>
  <si>
    <t>1 October 2020</t>
  </si>
  <si>
    <t>1 October 2015</t>
  </si>
  <si>
    <t>1 July 2018</t>
  </si>
  <si>
    <t>Type:</t>
  </si>
  <si>
    <t>City</t>
  </si>
  <si>
    <t>County</t>
  </si>
  <si>
    <t>Maintenance Agreement:</t>
  </si>
  <si>
    <t xml:space="preserve"> Covenant</t>
  </si>
  <si>
    <t>Entity Type:</t>
  </si>
  <si>
    <t>Provides the required water quality volume (WQv);</t>
  </si>
  <si>
    <t xml:space="preserve">Post-development runoff mimics pre-development hydrology to the maximum extent practicable (MEP). </t>
  </si>
  <si>
    <t>By affixing my professional seal and signature on this form, I hereby certify that the retention pond:</t>
  </si>
  <si>
    <t>Drainage areas shown in the hydrology and hydraulic (H&amp;H) calculations drain into the retention pond; and,</t>
  </si>
  <si>
    <t>Velocity</t>
  </si>
  <si>
    <t>By affixing my professional seal and signature on this form, I hereby certify that the retention pond has been constructed in accordance with the approved design.  I further certify that the drainage areas shown in the approved hydrology and hydraulic (H&amp;H) calculations do in fact drain into the retention pond and that the post-development runoff mimics pre-development hydrology to the maximum extent practicable (MEP).</t>
  </si>
  <si>
    <t xml:space="preserve"> As-Built Survey Drawing(s)</t>
  </si>
  <si>
    <t>Printing the form may require some adjustments to the print settings for the printer being used.</t>
  </si>
  <si>
    <t>Urban Hydrology for Small Watersheds Technical Release 55 (TR-55) or equivalent as approved</t>
  </si>
  <si>
    <t>All applicable developments shall be responsible for ensuring that post-development hydrology mimics</t>
  </si>
  <si>
    <t>will not adversely impact and/or cause flooding of structures within the development;</t>
  </si>
  <si>
    <t>Filtration system for the WQv Orifice shall allow the volume of stormwater associated with the WQv</t>
  </si>
  <si>
    <t>to drain slowly from the retention pond within a 48-hour period;</t>
  </si>
  <si>
    <t xml:space="preserve">Maximum water surface elevation in reservoir shall be two-feet or greater below the lowest floor elevation </t>
  </si>
  <si>
    <t>of adjacent structure(s);</t>
  </si>
  <si>
    <t>Retention ponds located in residential subdivisions shall be enclosed with a minimum four-foot high black,</t>
  </si>
  <si>
    <t>vinyl coated chain link fence.  Gate(s) with locks shall be provided for maintenance access.</t>
  </si>
  <si>
    <t>Site features to include but not limited to roads, rights-of-way, property lines, driveways, buildings, parking</t>
  </si>
  <si>
    <t>areas, fences, retaining walls, dumpster pads, etc.</t>
  </si>
  <si>
    <t>outlet pipe, WQ filter, etc.</t>
  </si>
  <si>
    <t>Home Owners Association (HOA) Information</t>
  </si>
  <si>
    <t>Current Logo</t>
  </si>
  <si>
    <t>None:</t>
  </si>
  <si>
    <t>This is a required field.  Once a number or text is entered, the green highlight will be removed.</t>
  </si>
  <si>
    <t>Max Elev.
(ft)</t>
  </si>
  <si>
    <t>Emergency Spillway Freeboard:</t>
  </si>
  <si>
    <t>Freeboard  &lt;  1.0 ft</t>
  </si>
  <si>
    <t xml:space="preserve">City: </t>
  </si>
  <si>
    <t xml:space="preserve">Pond Top EL.: </t>
  </si>
  <si>
    <r>
      <t>WQ</t>
    </r>
    <r>
      <rPr>
        <vertAlign val="subscript"/>
        <sz val="15"/>
        <color theme="1"/>
        <rFont val="Calibri"/>
        <family val="2"/>
      </rPr>
      <t>v</t>
    </r>
    <r>
      <rPr>
        <sz val="10"/>
        <color theme="1"/>
        <rFont val="Calibri"/>
        <family val="2"/>
        <scheme val="minor"/>
      </rPr>
      <t xml:space="preserve"> Required: </t>
    </r>
  </si>
  <si>
    <r>
      <t>WQ</t>
    </r>
    <r>
      <rPr>
        <vertAlign val="subscript"/>
        <sz val="15"/>
        <color theme="1"/>
        <rFont val="Calibri"/>
        <family val="2"/>
      </rPr>
      <t>v</t>
    </r>
    <r>
      <rPr>
        <sz val="10"/>
        <color theme="1"/>
        <rFont val="Calibri"/>
        <family val="2"/>
        <scheme val="minor"/>
      </rPr>
      <t xml:space="preserve"> Provided: </t>
    </r>
  </si>
  <si>
    <t>Comments?</t>
  </si>
  <si>
    <t>Elevation:</t>
  </si>
  <si>
    <t>Pre Total not completed</t>
  </si>
  <si>
    <t>V-notch</t>
  </si>
  <si>
    <t>Permit Type:</t>
  </si>
  <si>
    <t>Max Velocity:</t>
  </si>
  <si>
    <t>Lookup Table</t>
  </si>
  <si>
    <t>Max Velocity</t>
  </si>
  <si>
    <t>Engineering or Building No.</t>
  </si>
  <si>
    <t>Post &lt; 0.5</t>
  </si>
  <si>
    <t xml:space="preserve">Weir: </t>
  </si>
  <si>
    <t>Rainfall depths were obtained from NOAA Atlas 14, Volume 9, Version 2.</t>
  </si>
  <si>
    <t>Complete Design Form with the required design information.  Once the Design Form is completed, most of the Design section of the As-built Form will be prepopulated.</t>
  </si>
  <si>
    <t>Use the drop down list to select an orifice or weir.</t>
  </si>
  <si>
    <t>No. Taken</t>
  </si>
  <si>
    <t>Date</t>
  </si>
  <si>
    <t>g.</t>
  </si>
  <si>
    <t xml:space="preserve">Contact Name: </t>
  </si>
  <si>
    <t>This is a required field.  Place an "X" in the appropriate box and the green highlight will be removed.  In some cases, the selection is optional.  Once an option is completed, additional fields may be highlighted green and in some fields the green highlight will be removed.</t>
  </si>
  <si>
    <t>Drainage basin maps shall show:</t>
  </si>
  <si>
    <t>Provide a drainage basin map for existing conditions</t>
  </si>
  <si>
    <t>Provide a drainage basin map for proposed conditions</t>
  </si>
  <si>
    <t>Property boundary</t>
  </si>
  <si>
    <t>Structures, roads, storm sewer, utilities, drainage easements and other site features</t>
  </si>
  <si>
    <t xml:space="preserve">Pathways used for calculating Time of Concentration (Tc) </t>
  </si>
  <si>
    <t>h.</t>
  </si>
  <si>
    <t>Adjacent properties and site features where stormwater will be discharged from the proposed development</t>
  </si>
  <si>
    <t xml:space="preserve">Insp Report Due: </t>
  </si>
  <si>
    <t>30 Septbember</t>
  </si>
  <si>
    <t>1 September</t>
  </si>
  <si>
    <t>management requirements have been met.</t>
  </si>
  <si>
    <t>If a retention pond encroaches on a floodplain, provide documentaiton showing that all floodplain</t>
  </si>
  <si>
    <t>A retention pond shall not be constructed within the floodway;</t>
  </si>
  <si>
    <t>Installation of a retention pond shall not adversely impact and/or cause flooding</t>
  </si>
  <si>
    <t>of properties located within, upstream, and/or downstream of the development;</t>
  </si>
  <si>
    <t>A stormwater pathway (i.e. piped storm sewer, overland flow, etc.) within the development shall</t>
  </si>
  <si>
    <t>be provided to convey the discharge resulting from a 100-year, 24-hour storm event in a manner that</t>
  </si>
  <si>
    <t>A retention pond shall provide for an emergency spillway designed to convey the discharge resulting from</t>
  </si>
  <si>
    <t xml:space="preserve">WQ Filter: </t>
  </si>
  <si>
    <t xml:space="preserve">Seal: </t>
  </si>
  <si>
    <t>Location of the retention pond, contours, contour labels, spot elevations, outlet control structure, outlet pipe,</t>
  </si>
  <si>
    <t>emergency spillway, and outlet protection</t>
  </si>
  <si>
    <t>Detail of the outlet control structure showing elevations and dimensions of multi-stage riser, orifices, weirs,</t>
  </si>
  <si>
    <t>g</t>
  </si>
  <si>
    <t>Outlet control structure showing multi-stage riser, orifices, weirs, outlet pipe, and WQ filter</t>
  </si>
  <si>
    <t>ENG No.</t>
  </si>
  <si>
    <t>General overview</t>
  </si>
  <si>
    <t>Emergency spillway</t>
  </si>
  <si>
    <t>Outfall to receiving stream / storm sewer</t>
  </si>
  <si>
    <t>Insp Report Due:</t>
  </si>
  <si>
    <t>Units</t>
  </si>
  <si>
    <t>Volume</t>
  </si>
  <si>
    <t>(50-yr)</t>
  </si>
  <si>
    <t>Arch</t>
  </si>
  <si>
    <t>Elliptical</t>
  </si>
  <si>
    <t>Units Check</t>
  </si>
  <si>
    <t>Storms:</t>
  </si>
  <si>
    <t>2, 5, 10, 25, 50, and 100</t>
  </si>
  <si>
    <t>Form 2B.1 - Retention Pond
Design Form</t>
  </si>
  <si>
    <t xml:space="preserve"> ac</t>
  </si>
  <si>
    <t xml:space="preserve"> sq-ft</t>
  </si>
  <si>
    <t>%</t>
  </si>
  <si>
    <t>Slope</t>
  </si>
  <si>
    <t xml:space="preserve">Hydrologic Soil Group: </t>
  </si>
  <si>
    <t xml:space="preserve"> A</t>
  </si>
  <si>
    <t xml:space="preserve"> B</t>
  </si>
  <si>
    <t xml:space="preserve"> C</t>
  </si>
  <si>
    <t xml:space="preserve"> D</t>
  </si>
  <si>
    <r>
      <t>Peak Discharge (ft</t>
    </r>
    <r>
      <rPr>
        <vertAlign val="superscript"/>
        <sz val="8"/>
        <color theme="1"/>
        <rFont val="Calibri"/>
        <family val="2"/>
      </rPr>
      <t>3</t>
    </r>
    <r>
      <rPr>
        <sz val="10"/>
        <color theme="1"/>
        <rFont val="Calibri"/>
        <family val="2"/>
        <scheme val="minor"/>
      </rPr>
      <t>/s)</t>
    </r>
  </si>
  <si>
    <t>Flooding</t>
  </si>
  <si>
    <t>Form 2B.2 - Retention Pond Design Form Attachment is attached?</t>
  </si>
  <si>
    <t>Design Questions</t>
  </si>
  <si>
    <t>Does the retention pond discharge into an existing storm sewer (i.e. pipe, concrete swale, etc.)?</t>
  </si>
  <si>
    <t>Total</t>
  </si>
  <si>
    <t>Does the project drain to an area of known flooding?</t>
  </si>
  <si>
    <t xml:space="preserve">Does the project drain onto an adjacent property? </t>
  </si>
  <si>
    <t>Adj Property</t>
  </si>
  <si>
    <t xml:space="preserve">Design Form Date: </t>
  </si>
  <si>
    <t>Will future development phases discharge into the retention pond?  Complete Form 2B.2.</t>
  </si>
  <si>
    <t>31 December</t>
  </si>
  <si>
    <t>Caption, date, and/or description on all photographs?</t>
  </si>
  <si>
    <t>Storm sewer pipes discharging into retention pond</t>
  </si>
  <si>
    <t>As-Built does not match Design, provide a reason in the Comments section</t>
  </si>
  <si>
    <t>Caption identifying the date, location, and description of the photograph</t>
  </si>
  <si>
    <t>Photographs:</t>
  </si>
  <si>
    <t>All required photographs are not provided</t>
  </si>
  <si>
    <t>No. Storms:</t>
  </si>
  <si>
    <t>Known Flooding Req:</t>
  </si>
  <si>
    <t>T-shape</t>
  </si>
  <si>
    <t>Stage-Area-Storage Summary</t>
  </si>
  <si>
    <t>Discharge Summary</t>
  </si>
  <si>
    <t>Known Flooding Storm:</t>
  </si>
  <si>
    <t>Adj Property Req:</t>
  </si>
  <si>
    <t>Adj Property Storm:</t>
  </si>
  <si>
    <t>Property</t>
  </si>
  <si>
    <t>Req?</t>
  </si>
  <si>
    <t>Storm</t>
  </si>
  <si>
    <t>Q Lookup</t>
  </si>
  <si>
    <t>Pre Q Lookup Table</t>
  </si>
  <si>
    <t xml:space="preserve">Select Area Units: </t>
  </si>
  <si>
    <t xml:space="preserve">Existing Impervious Area (EIA): </t>
  </si>
  <si>
    <t xml:space="preserve">Total Area: </t>
  </si>
  <si>
    <t>ac</t>
  </si>
  <si>
    <t xml:space="preserve">EIA = </t>
  </si>
  <si>
    <t xml:space="preserve">PIA = </t>
  </si>
  <si>
    <t xml:space="preserve">AIA = </t>
  </si>
  <si>
    <t>ac or sq-ft selection</t>
  </si>
  <si>
    <t xml:space="preserve">Drainage Area </t>
  </si>
  <si>
    <t>OCS = Outlet Control Structure</t>
  </si>
  <si>
    <t>ES = Emergency Spillway</t>
  </si>
  <si>
    <t>OCS</t>
  </si>
  <si>
    <t>ES</t>
  </si>
  <si>
    <t>a 100-year, 24-hour storm event.  A minimum, freeboard of 1-foot above the maximum stage anticipated</t>
  </si>
  <si>
    <t xml:space="preserve">in the retention pond or above  the crest elevation of the emergency spillway; </t>
  </si>
  <si>
    <t>Lat Text</t>
  </si>
  <si>
    <t>Long Text</t>
  </si>
  <si>
    <t>Latitude and/or Longitude has been entered as text.  Change to a number.</t>
  </si>
  <si>
    <t>Outlet Control Structure (OCS)</t>
  </si>
  <si>
    <t>Emergency Spillway (ES)</t>
  </si>
  <si>
    <t xml:space="preserve">Parcel No.: </t>
  </si>
  <si>
    <t xml:space="preserve">network, existing drainage areas, proposed drainage areas, time of concentration, curve number, pre-development </t>
  </si>
  <si>
    <t xml:space="preserve">peak discharges, post-development peak discharges, outlet structure geometry, emergency spillway geometry, </t>
  </si>
  <si>
    <t>pond stage-area storage summary, pond discharge summary, inflow and outflow hydrographs, and outlet  velocities.</t>
  </si>
  <si>
    <t>Post-development discharges shall be less than pre-development discharges at all discharge locations.</t>
  </si>
  <si>
    <t>Provide the velocity at the end of any velocity dissipation device.</t>
  </si>
  <si>
    <t xml:space="preserve">H&amp;H calculations shall include all the information required to validate information provided on this form i.e. model </t>
  </si>
  <si>
    <t>OCS Velocity
(ft/s)</t>
  </si>
  <si>
    <t>ES Velocity
(ft/s)</t>
  </si>
  <si>
    <t>Parcel No. has not been provided</t>
  </si>
  <si>
    <t>Parcel No.:</t>
  </si>
  <si>
    <t xml:space="preserve">WQ Filter / snout: </t>
  </si>
  <si>
    <t>Are outfall pipes into retention pond above normal pool elevation?</t>
  </si>
  <si>
    <t>Spillage agreement</t>
  </si>
  <si>
    <t>Will not adversely impact and/or cause flooding of structures within, upstream, and/or downstream of the</t>
  </si>
  <si>
    <t>development;</t>
  </si>
  <si>
    <t>Automated Review Checks (continued)</t>
  </si>
  <si>
    <t>Page 5 of 5</t>
  </si>
  <si>
    <t>Page 4 of 5</t>
  </si>
  <si>
    <t>Page 3 of 5</t>
  </si>
  <si>
    <t>Page 2 of 5</t>
  </si>
  <si>
    <t>Page 1 of 5</t>
  </si>
  <si>
    <t>The as-built drawing shall bear the date, seal, and signature of the professional land surveyor.</t>
  </si>
  <si>
    <t>If a proposed development discharges onto an adjacent property, the proposed development shall:</t>
  </si>
  <si>
    <t>Agreement Type:</t>
  </si>
  <si>
    <t>Known Flooding Storm &lt;:</t>
  </si>
  <si>
    <t>Known or Adj Storm</t>
  </si>
  <si>
    <t>Requirements</t>
  </si>
  <si>
    <t>Question</t>
  </si>
  <si>
    <t>5, 10, 25, 50, and 100</t>
  </si>
  <si>
    <t>10, 25, 50, and 100</t>
  </si>
  <si>
    <t>25, 50, and 100</t>
  </si>
  <si>
    <t>50 and 100</t>
  </si>
  <si>
    <t>Adj Property Storm&lt;:</t>
  </si>
  <si>
    <t>Known or Adj Design Storm&lt;:</t>
  </si>
  <si>
    <t>Slope of the bottom of the detention pond  &lt; 2.00%</t>
  </si>
  <si>
    <t>Will a level spreader be used?</t>
  </si>
  <si>
    <t>Design Storm</t>
  </si>
  <si>
    <t>Known or Adj Design Storm:</t>
  </si>
  <si>
    <t>Outlet Protection</t>
  </si>
  <si>
    <t>Riprap apron</t>
  </si>
  <si>
    <t>Concrete flume with baffles</t>
  </si>
  <si>
    <t>Concrete box with chambers</t>
  </si>
  <si>
    <t>Concrete box with baffles</t>
  </si>
  <si>
    <t>Pre-manufactured product</t>
  </si>
  <si>
    <t xml:space="preserve">Type: </t>
  </si>
  <si>
    <t xml:space="preserve">Depth: </t>
  </si>
  <si>
    <t xml:space="preserve">Geotextile: </t>
  </si>
  <si>
    <t>Outlet Protection:</t>
  </si>
  <si>
    <t>Outlet protection section not completed</t>
  </si>
  <si>
    <t>Max Stage for 2, 5, 10, 25, and/or 50-year storm  &gt; emergency spillway crest elevation</t>
  </si>
  <si>
    <t>Retention pond outftall and outlet protection</t>
  </si>
  <si>
    <t>Outlet control structure and  WQv filter</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</si>
  <si>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</si>
  <si>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</si>
  <si>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</si>
  <si>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</si>
  <si>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</si>
  <si>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</si>
  <si>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</si>
  <si>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</si>
  <si>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</si>
  <si>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Selection Required</t>
  </si>
  <si>
    <t>I ACCEPT</t>
  </si>
  <si>
    <t>I DO NOT ACCEPT</t>
  </si>
  <si>
    <t>Baldwin County</t>
  </si>
  <si>
    <t xml:space="preserve">Effective Date: </t>
  </si>
  <si>
    <t xml:space="preserve">Acceptance (required): </t>
  </si>
  <si>
    <t xml:space="preserve">Expiration Date: </t>
  </si>
  <si>
    <t xml:space="preserve">IMPORTANT - READ BEFORE USE: </t>
  </si>
  <si>
    <t xml:space="preserve">Current Status: </t>
  </si>
  <si>
    <t xml:space="preserve">Administrator Code (Hidden): </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</si>
  <si>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</si>
  <si>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</si>
  <si>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</si>
  <si>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</si>
  <si>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</si>
  <si>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</si>
  <si>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</si>
  <si>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</si>
  <si>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</si>
  <si>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</si>
  <si>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</si>
  <si>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</si>
  <si>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</si>
  <si>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</si>
  <si>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</si>
  <si>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</si>
  <si>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</si>
  <si>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</si>
  <si>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</si>
  <si>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</si>
  <si>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</si>
  <si>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</si>
  <si>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special, consequential, or punitive damages.</t>
  </si>
  <si>
    <t>-yr</t>
  </si>
  <si>
    <t xml:space="preserve"> O&amp;M Plan</t>
  </si>
  <si>
    <t>Drainage Rights</t>
  </si>
  <si>
    <t>END USER LICENSE AGREEMENT (EULA)</t>
  </si>
  <si>
    <t>authorized, do not use the Tool.</t>
  </si>
  <si>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</si>
  <si>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</si>
  <si>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</si>
  <si>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</si>
  <si>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</si>
  <si>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</si>
  <si>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</si>
  <si>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</si>
  <si>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</si>
  <si>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r>
      <t>The Tool is provided "</t>
    </r>
    <r>
      <rPr>
        <b/>
        <sz val="12"/>
        <color theme="1"/>
        <rFont val="Calibri"/>
        <family val="2"/>
      </rPr>
      <t>AS IS</t>
    </r>
    <r>
      <rPr>
        <sz val="12"/>
        <color theme="1"/>
        <rFont val="Calibri"/>
        <family val="2"/>
        <scheme val="minor"/>
      </rPr>
      <t>".  Licensor disclaims all warranties, express or implied (including merchantability, fitness for a particular</t>
    </r>
  </si>
  <si>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</si>
  <si>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</si>
  <si>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</si>
  <si>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</si>
  <si>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</si>
  <si>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</si>
  <si>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</si>
  <si>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</si>
  <si>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</si>
  <si>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</si>
  <si>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</si>
  <si>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</si>
  <si>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</si>
  <si>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</si>
  <si>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r>
      <t>Pond In 
Q (ft</t>
    </r>
    <r>
      <rPr>
        <vertAlign val="superscript"/>
        <sz val="8"/>
        <color theme="1"/>
        <rFont val="Calibri"/>
        <family val="2"/>
      </rPr>
      <t>3</t>
    </r>
    <r>
      <rPr>
        <sz val="10"/>
        <color theme="1"/>
        <rFont val="Calibri"/>
        <family val="2"/>
        <scheme val="minor"/>
      </rPr>
      <t>/s)</t>
    </r>
  </si>
  <si>
    <r>
      <t>WQ</t>
    </r>
    <r>
      <rPr>
        <vertAlign val="subscript"/>
        <sz val="15"/>
        <color theme="1"/>
        <rFont val="Calibri"/>
        <family val="2"/>
      </rPr>
      <t>v</t>
    </r>
    <r>
      <rPr>
        <sz val="10"/>
        <color theme="1"/>
        <rFont val="Calibri"/>
        <family val="2"/>
        <scheme val="minor"/>
      </rPr>
      <t xml:space="preserve"> Elevation: </t>
    </r>
  </si>
  <si>
    <t>Is there an adequate easement or access road to the retention pond for inspection and maintenance?</t>
  </si>
  <si>
    <t>Have low impact development (LID) / green infrasturcture (GI) Practices been implemented?</t>
  </si>
  <si>
    <t>24-hour storm event without allowing any discharge from the emergency spillway;</t>
  </si>
  <si>
    <t>The principal outlet control structure for a retention pond shall be sized to convey the 2, 5, 10, 25, and 50-year,</t>
  </si>
  <si>
    <t>Dia./Span/Deg</t>
  </si>
  <si>
    <t>Rise</t>
  </si>
  <si>
    <t>Form 2G - Level Spreader Design Form is attached?</t>
  </si>
  <si>
    <t>Lee County</t>
  </si>
  <si>
    <t>Release Agreement</t>
  </si>
  <si>
    <t>Spillage Agreement</t>
  </si>
  <si>
    <t>Will the retention pond discharge to a channel?</t>
  </si>
  <si>
    <t>Will the retention pond discharge to an area of sheet flow?</t>
  </si>
  <si>
    <t xml:space="preserve"> Drainage basins DGN, DWG, Shapefile or KMZ in WGS84</t>
  </si>
  <si>
    <t xml:space="preserve">Attachments:  </t>
  </si>
  <si>
    <t xml:space="preserve"> Excel file with tabular hydrographs in</t>
  </si>
  <si>
    <t xml:space="preserve">  0.05-hour time interval</t>
  </si>
  <si>
    <t xml:space="preserve"> Excel file with tabular hydrographs in 0.05-hour time interval</t>
  </si>
  <si>
    <t xml:space="preserve">Outlet pipe discharges into a storm sewer pipe, concrete swale or riprap swale? </t>
  </si>
  <si>
    <r>
      <t>Additional Basin Information:</t>
    </r>
    <r>
      <rPr>
        <b/>
        <sz val="12"/>
        <color theme="1"/>
        <rFont val="Calibri"/>
        <family val="2"/>
        <scheme val="minor"/>
      </rPr>
      <t xml:space="preserve"> </t>
    </r>
    <r>
      <rPr>
        <sz val="10"/>
        <color theme="1"/>
        <rFont val="Calibri"/>
        <family val="2"/>
        <scheme val="minor"/>
      </rPr>
      <t xml:space="preserve"> </t>
    </r>
  </si>
  <si>
    <t>Form 2B.3 - Retention Pond Additional Basins?</t>
  </si>
  <si>
    <t xml:space="preserve">Additional Pre and/or Post basin information provided on </t>
  </si>
  <si>
    <t>Riprap?</t>
  </si>
  <si>
    <t>Class</t>
  </si>
  <si>
    <t>Thickness</t>
  </si>
  <si>
    <t>Riprap Class</t>
  </si>
  <si>
    <t>Min Depth (ft)</t>
  </si>
  <si>
    <t>Outlet protection using Class 2 Riprap shall have a minimum depth of 1.50-feet.</t>
  </si>
  <si>
    <t>sheet flow, provide a level spreader to convert the point source discharge to sheet flow.</t>
  </si>
  <si>
    <t>The calculation methodology shall utilize the Natural Resources Conservation Service (NRCS)</t>
  </si>
  <si>
    <r>
      <t>Total Post Q is &lt; 0.50 ft</t>
    </r>
    <r>
      <rPr>
        <vertAlign val="superscript"/>
        <sz val="10.8"/>
        <color theme="1"/>
        <rFont val="Calibri"/>
        <family val="2"/>
      </rPr>
      <t>3</t>
    </r>
    <r>
      <rPr>
        <sz val="11"/>
        <color theme="1"/>
        <rFont val="Calibri"/>
        <family val="2"/>
        <scheme val="minor"/>
      </rPr>
      <t>/s of Pre Q</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</si>
</sst>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409]d\-mmm\-yy;@"/>
    <numFmt numFmtId="165" formatCode="0.000000"/>
    <numFmt numFmtId="166" formatCode="0."/>
    <numFmt numFmtId="167" formatCode="_(* #,##0_);_(* \(#,##0\);_(* &quot;-&quot;??_);_(@_)"/>
    <numFmt numFmtId="168" formatCode="[$-409]d\ mmmm\ yyyy;@"/>
    <numFmt numFmtId="169" formatCode="[$-409]dd\ mmmm\ yyyy;@"/>
    <numFmt numFmtId="170" formatCode="[&lt;=9999999]###\-####;\(###\)\ ###\-####"/>
    <numFmt numFmtId="171" formatCode="00000"/>
    <numFmt numFmtId="172" formatCode="[$-409]mmmm\ d\,\ yyyy;@"/>
    <numFmt numFmtId="173" formatCode="#,##0.0000"/>
    <numFmt numFmtId="174" formatCode="00\ 00\ 00\ 0\ 000\ 000.000"/>
    <numFmt numFmtId="175" formatCode="[$-409]dd\ mmmm\ yyyy\ h:mm\ AM/PM;@"/>
    <numFmt numFmtId="176" formatCode="0\)"/>
    <numFmt numFmtId="177" formatCode="0.000000_);\(0.000000\)"/>
  </numFmts>
  <fonts count="28"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8"/>
      <color theme="1"/>
      <name val="Calibri"/>
      <family val="2"/>
    </font>
    <font>
      <b/>
      <sz val="12"/>
      <color theme="1"/>
      <name val="Calibri"/>
      <family val="2"/>
      <scheme val="minor"/>
    </font>
    <font>
      <vertAlign val="subscript"/>
      <sz val="15"/>
      <color theme="1"/>
      <name val="Calibri"/>
      <family val="2"/>
    </font>
    <font>
      <u/>
      <sz val="11"/>
      <color theme="10"/>
      <name val="Calibri"/>
      <family val="2"/>
      <scheme val="minor"/>
    </font>
    <font>
      <b/>
      <u/>
      <sz val="10"/>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vertAlign val="superscript"/>
      <sz val="9"/>
      <color theme="1"/>
      <name val="Calibri"/>
      <family val="2"/>
    </font>
    <font>
      <vertAlign val="subscript"/>
      <sz val="10"/>
      <color theme="1"/>
      <name val="Calibri"/>
      <family val="2"/>
      <scheme val="minor"/>
    </font>
    <font>
      <sz val="11"/>
      <color theme="1"/>
      <name val="Calibri"/>
      <family val="2"/>
      <scheme val="minor"/>
    </font>
    <font>
      <vertAlign val="superscript"/>
      <sz val="10.8"/>
      <color theme="1"/>
      <name val="Calibri"/>
      <family val="2"/>
    </font>
    <font>
      <sz val="9"/>
      <color indexed="81"/>
      <name val="Tahoma"/>
      <family val="2"/>
    </font>
    <font>
      <b/>
      <sz val="9"/>
      <color indexed="81"/>
      <name val="Tahoma"/>
      <family val="2"/>
    </font>
    <font>
      <b/>
      <sz val="11"/>
      <color theme="1"/>
      <name val="Calibri"/>
      <family val="2"/>
      <scheme val="minor"/>
    </font>
    <font>
      <sz val="10"/>
      <color theme="1"/>
      <name val="Calibri"/>
      <family val="2"/>
    </font>
    <font>
      <u/>
      <sz val="10"/>
      <color theme="10"/>
      <name val="Calibri"/>
      <family val="2"/>
      <scheme val="minor"/>
    </font>
    <font>
      <b/>
      <sz val="11"/>
      <color theme="0"/>
      <name val="Calibri"/>
      <family val="2"/>
      <scheme val="minor"/>
    </font>
    <font>
      <b/>
      <sz val="12"/>
      <color theme="1"/>
      <name val="Calibri"/>
      <family val="2"/>
    </font>
  </fonts>
  <fills count="10">
    <fill>
      <patternFill patternType="none"/>
    </fill>
    <fill>
      <patternFill patternType="gray125"/>
    </fill>
    <fill>
      <patternFill patternType="solid">
        <fgColor theme="7" tint="0.59996337778862885"/>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30">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ck">
        <color auto="1"/>
      </left>
      <right/>
      <top/>
      <bottom/>
      <diagonal/>
    </border>
    <border>
      <left/>
      <right style="thick">
        <color auto="1"/>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thin">
        <color indexed="64"/>
      </right>
      <top/>
      <bottom style="thin">
        <color indexed="64"/>
      </bottom>
      <diagonal/>
    </border>
    <border>
      <left style="thin">
        <color auto="1"/>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style="thin">
        <color indexed="64"/>
      </left>
      <right style="thin">
        <color indexed="64"/>
      </right>
      <top/>
      <bottom/>
      <diagonal/>
    </border>
  </borders>
  <cellStyleXfs count="3">
    <xf numFmtId="0" fontId="0" fillId="0" borderId="0"/>
    <xf numFmtId="0" fontId="9" fillId="0" borderId="0" applyNumberFormat="0" applyFill="0" applyBorder="0" applyAlignment="0" applyProtection="0"/>
    <xf numFmtId="43" fontId="19" fillId="0" borderId="0" applyFont="0" applyFill="0" applyBorder="0" applyAlignment="0" applyProtection="0"/>
  </cellStyleXfs>
  <cellXfs count="250">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Alignment="1">
      <alignment horizontal="center" vertical="center"/>
    </xf>
    <xf numFmtId="0" fontId="7" fillId="0" borderId="0" xfId="0" applyFont="1" applyAlignment="1">
      <alignment vertical="center"/>
    </xf>
    <xf numFmtId="4" fontId="3" fillId="0" borderId="0" xfId="0" applyNumberFormat="1" applyFont="1" applyAlignment="1" applyProtection="1">
      <alignment vertical="center"/>
      <protection hidden="1"/>
    </xf>
    <xf numFmtId="3" fontId="3" fillId="0" borderId="0" xfId="0" applyNumberFormat="1" applyFont="1" applyAlignment="1" applyProtection="1">
      <alignment vertical="center"/>
      <protection hidden="1"/>
    </xf>
    <xf numFmtId="0" fontId="3" fillId="0" borderId="0" xfId="0" applyFont="1" applyAlignment="1" applyProtection="1">
      <alignment vertical="center"/>
      <protection hidden="1"/>
    </xf>
    <xf numFmtId="0" fontId="3" fillId="4" borderId="0" xfId="0" applyFont="1" applyFill="1" applyAlignment="1">
      <alignment vertical="center"/>
    </xf>
    <xf numFmtId="0" fontId="3" fillId="4" borderId="0" xfId="0" applyFont="1" applyFill="1" applyAlignment="1">
      <alignment horizontal="right" vertical="center"/>
    </xf>
    <xf numFmtId="2" fontId="3" fillId="0" borderId="0" xfId="0" applyNumberFormat="1" applyFont="1" applyAlignment="1" applyProtection="1">
      <alignment horizontal="right" vertical="center"/>
      <protection hidden="1"/>
    </xf>
    <xf numFmtId="2" fontId="3" fillId="0" borderId="0" xfId="0" applyNumberFormat="1" applyFont="1" applyAlignment="1" applyProtection="1">
      <alignment vertical="center"/>
      <protection hidden="1"/>
    </xf>
    <xf numFmtId="0" fontId="3" fillId="0" borderId="0" xfId="0" applyFont="1" applyAlignment="1">
      <alignment horizontal="left" vertical="center"/>
    </xf>
    <xf numFmtId="0" fontId="3" fillId="6" borderId="0" xfId="0" applyFont="1" applyFill="1" applyAlignment="1">
      <alignment vertical="center"/>
    </xf>
    <xf numFmtId="0" fontId="3" fillId="6" borderId="0" xfId="0" applyFont="1" applyFill="1" applyAlignment="1">
      <alignment horizontal="center" vertical="center"/>
    </xf>
    <xf numFmtId="166" fontId="3"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wrapText="1"/>
    </xf>
    <xf numFmtId="166" fontId="0" fillId="0" borderId="0" xfId="0" applyNumberFormat="1" applyAlignment="1">
      <alignment horizontal="center" vertical="center"/>
    </xf>
    <xf numFmtId="0" fontId="0" fillId="0" borderId="0" xfId="0" applyAlignment="1">
      <alignment vertical="center"/>
    </xf>
    <xf numFmtId="0" fontId="3" fillId="0" borderId="0" xfId="0" applyFont="1" applyAlignment="1">
      <alignment vertical="center"/>
    </xf>
    <xf numFmtId="0" fontId="15" fillId="0" borderId="0" xfId="0" applyFont="1" applyAlignment="1">
      <alignment horizontal="center" vertical="center"/>
    </xf>
    <xf numFmtId="0" fontId="3" fillId="0" borderId="11" xfId="0" applyFont="1" applyBorder="1" applyAlignment="1">
      <alignment vertical="center"/>
    </xf>
    <xf numFmtId="2" fontId="3" fillId="0" borderId="0" xfId="0" applyNumberFormat="1" applyFont="1" applyAlignment="1">
      <alignment horizontal="right" vertical="center"/>
    </xf>
    <xf numFmtId="2" fontId="3" fillId="0" borderId="0" xfId="0" applyNumberFormat="1" applyFont="1" applyAlignment="1">
      <alignment vertical="center"/>
    </xf>
    <xf numFmtId="0" fontId="3" fillId="0" borderId="13" xfId="0" applyFont="1" applyBorder="1" applyAlignment="1">
      <alignment horizontal="center" vertical="center"/>
    </xf>
    <xf numFmtId="0" fontId="3" fillId="0" borderId="12" xfId="0" applyFont="1" applyBorder="1" applyAlignment="1">
      <alignment vertical="center"/>
    </xf>
    <xf numFmtId="0" fontId="3" fillId="0" borderId="0" xfId="0" applyFont="1" applyAlignment="1">
      <alignment horizontal="right"/>
    </xf>
    <xf numFmtId="0" fontId="10" fillId="0" borderId="0" xfId="0" applyFont="1" applyAlignment="1">
      <alignment vertical="center"/>
    </xf>
    <xf numFmtId="165" fontId="3" fillId="0" borderId="0" xfId="0" applyNumberFormat="1" applyFont="1" applyAlignment="1">
      <alignment vertical="center"/>
    </xf>
    <xf numFmtId="3" fontId="3" fillId="0" borderId="0" xfId="0" applyNumberFormat="1" applyFont="1" applyAlignment="1">
      <alignment vertical="center"/>
    </xf>
    <xf numFmtId="166" fontId="7" fillId="0" borderId="0" xfId="0" applyNumberFormat="1" applyFont="1" applyAlignment="1">
      <alignment horizontal="center" vertical="center"/>
    </xf>
    <xf numFmtId="4" fontId="3" fillId="0" borderId="0" xfId="0" applyNumberFormat="1" applyFont="1" applyAlignment="1">
      <alignment vertical="center"/>
    </xf>
    <xf numFmtId="0" fontId="3" fillId="0" borderId="0" xfId="0" applyFont="1" applyAlignment="1">
      <alignment horizontal="right" vertical="center" indent="1"/>
    </xf>
    <xf numFmtId="3" fontId="3" fillId="0" borderId="0" xfId="0" applyNumberFormat="1" applyFont="1" applyAlignment="1">
      <alignment horizontal="right" vertical="center"/>
    </xf>
    <xf numFmtId="0" fontId="9" fillId="0" borderId="0" xfId="1" applyBorder="1" applyAlignment="1" applyProtection="1">
      <alignment horizontal="left" vertical="center"/>
    </xf>
    <xf numFmtId="0" fontId="5" fillId="4" borderId="5" xfId="0" applyFont="1" applyFill="1" applyBorder="1" applyAlignment="1">
      <alignment vertical="center"/>
    </xf>
    <xf numFmtId="0" fontId="3" fillId="4" borderId="3" xfId="0" applyFont="1" applyFill="1" applyBorder="1" applyAlignment="1">
      <alignment vertical="center"/>
    </xf>
    <xf numFmtId="0" fontId="3" fillId="4" borderId="6" xfId="0" applyFont="1" applyFill="1" applyBorder="1" applyAlignment="1">
      <alignment vertical="center"/>
    </xf>
    <xf numFmtId="0" fontId="3" fillId="4" borderId="7" xfId="0" applyFont="1" applyFill="1" applyBorder="1" applyAlignment="1">
      <alignment vertical="center"/>
    </xf>
    <xf numFmtId="0" fontId="10" fillId="4" borderId="0" xfId="0" applyFont="1" applyFill="1" applyAlignment="1">
      <alignment horizontal="right" vertical="center"/>
    </xf>
    <xf numFmtId="0" fontId="10" fillId="4" borderId="0" xfId="0" applyFont="1" applyFill="1" applyAlignment="1">
      <alignment vertical="center"/>
    </xf>
    <xf numFmtId="0" fontId="3" fillId="4" borderId="8" xfId="0" applyFont="1" applyFill="1" applyBorder="1" applyAlignment="1">
      <alignment vertical="center"/>
    </xf>
    <xf numFmtId="0" fontId="3" fillId="4" borderId="9" xfId="0" applyFont="1" applyFill="1" applyBorder="1" applyAlignment="1">
      <alignmen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3" fillId="4" borderId="10" xfId="0" applyFont="1" applyFill="1" applyBorder="1" applyAlignment="1">
      <alignment vertical="center"/>
    </xf>
    <xf numFmtId="0" fontId="3" fillId="0" borderId="0" xfId="0" applyFont="1" applyAlignment="1">
      <alignment vertical="top" wrapText="1"/>
    </xf>
    <xf numFmtId="0" fontId="1" fillId="0" borderId="0" xfId="0" applyFont="1" applyAlignment="1">
      <alignment horizontal="left" vertical="center"/>
    </xf>
    <xf numFmtId="0" fontId="5" fillId="4" borderId="3" xfId="0" applyFont="1" applyFill="1" applyBorder="1" applyAlignment="1">
      <alignment vertical="center"/>
    </xf>
    <xf numFmtId="165" fontId="3" fillId="0" borderId="0" xfId="0" applyNumberFormat="1" applyFont="1" applyAlignment="1" applyProtection="1">
      <alignment vertical="center"/>
      <protection hidden="1"/>
    </xf>
    <xf numFmtId="0" fontId="1" fillId="0" borderId="12" xfId="0" applyFont="1" applyBorder="1" applyAlignment="1">
      <alignment vertical="center"/>
    </xf>
    <xf numFmtId="0" fontId="3" fillId="0" borderId="11" xfId="0" applyFont="1" applyBorder="1" applyAlignment="1">
      <alignment horizontal="right" vertical="center"/>
    </xf>
    <xf numFmtId="0" fontId="3" fillId="0" borderId="7" xfId="0" applyFont="1" applyBorder="1" applyAlignment="1">
      <alignment vertical="center"/>
    </xf>
    <xf numFmtId="0" fontId="3" fillId="0" borderId="3" xfId="0" applyFont="1" applyBorder="1" applyAlignment="1">
      <alignment vertical="center"/>
    </xf>
    <xf numFmtId="166" fontId="3" fillId="0" borderId="0" xfId="0" applyNumberFormat="1" applyFont="1" applyAlignment="1">
      <alignment vertical="center"/>
    </xf>
    <xf numFmtId="0" fontId="2" fillId="6" borderId="0" xfId="0" applyFont="1" applyFill="1" applyAlignment="1">
      <alignment vertical="center" wrapText="1"/>
    </xf>
    <xf numFmtId="0" fontId="2" fillId="0" borderId="0" xfId="0" applyFont="1" applyAlignment="1">
      <alignment vertical="center"/>
    </xf>
    <xf numFmtId="0" fontId="0" fillId="0" borderId="0" xfId="0" applyAlignment="1">
      <alignment horizontal="left" vertical="center"/>
    </xf>
    <xf numFmtId="0" fontId="3" fillId="6" borderId="0" xfId="0" applyFont="1" applyFill="1" applyAlignment="1">
      <alignment horizontal="right" vertical="center"/>
    </xf>
    <xf numFmtId="1" fontId="3" fillId="0" borderId="0" xfId="0" applyNumberFormat="1" applyFont="1" applyAlignment="1">
      <alignment vertical="center"/>
    </xf>
    <xf numFmtId="166" fontId="0" fillId="0" borderId="0" xfId="0" applyNumberFormat="1" applyAlignment="1">
      <alignment horizontal="left" vertical="center"/>
    </xf>
    <xf numFmtId="4" fontId="3" fillId="0" borderId="3" xfId="0" applyNumberFormat="1" applyFont="1" applyBorder="1" applyAlignment="1">
      <alignment horizontal="right" vertical="center"/>
    </xf>
    <xf numFmtId="4" fontId="3" fillId="0" borderId="0" xfId="0" applyNumberFormat="1" applyFont="1" applyAlignment="1">
      <alignment horizontal="right" vertical="center"/>
    </xf>
    <xf numFmtId="0" fontId="3" fillId="0" borderId="0" xfId="0" applyFont="1"/>
    <xf numFmtId="3" fontId="3" fillId="0" borderId="3" xfId="0" applyNumberFormat="1" applyFont="1" applyBorder="1" applyAlignment="1">
      <alignment horizontal="right" vertical="center"/>
    </xf>
    <xf numFmtId="0" fontId="3" fillId="0" borderId="0" xfId="0" applyFont="1" applyAlignment="1">
      <alignment horizontal="center" vertical="center" wrapText="1"/>
    </xf>
    <xf numFmtId="166" fontId="13" fillId="0" borderId="0" xfId="0" applyNumberFormat="1" applyFont="1" applyAlignment="1">
      <alignment horizontal="center" vertical="center"/>
    </xf>
    <xf numFmtId="0" fontId="13" fillId="0" borderId="0" xfId="0" applyFont="1" applyAlignment="1">
      <alignment vertical="center"/>
    </xf>
    <xf numFmtId="166" fontId="12" fillId="0" borderId="0" xfId="0" applyNumberFormat="1" applyFont="1" applyAlignment="1">
      <alignment vertical="center"/>
    </xf>
    <xf numFmtId="0" fontId="13" fillId="0" borderId="1" xfId="0" applyFont="1" applyBorder="1" applyAlignment="1">
      <alignment horizontal="center" vertical="center"/>
    </xf>
    <xf numFmtId="4" fontId="13" fillId="0" borderId="1" xfId="0" applyNumberFormat="1" applyFont="1" applyBorder="1" applyAlignment="1">
      <alignment vertical="center"/>
    </xf>
    <xf numFmtId="0" fontId="13" fillId="0" borderId="0" xfId="0" applyFont="1" applyAlignment="1">
      <alignment horizontal="left" vertical="center" wrapText="1"/>
    </xf>
    <xf numFmtId="0" fontId="13" fillId="0" borderId="0" xfId="0" applyFont="1" applyAlignment="1">
      <alignment vertical="center" wrapText="1"/>
    </xf>
    <xf numFmtId="0" fontId="14" fillId="2" borderId="1" xfId="0" applyFont="1" applyFill="1" applyBorder="1" applyAlignment="1">
      <alignment vertical="center"/>
    </xf>
    <xf numFmtId="0" fontId="13" fillId="5" borderId="1" xfId="0" applyFont="1" applyFill="1" applyBorder="1" applyAlignment="1">
      <alignment vertical="center"/>
    </xf>
    <xf numFmtId="0" fontId="7" fillId="0" borderId="0" xfId="0" applyFont="1" applyAlignment="1">
      <alignment horizontal="left" vertical="center"/>
    </xf>
    <xf numFmtId="0" fontId="3" fillId="0" borderId="1" xfId="0" applyFont="1" applyBorder="1" applyAlignment="1">
      <alignment vertical="center"/>
    </xf>
    <xf numFmtId="0" fontId="0" fillId="0" borderId="0" xfId="0" applyAlignment="1">
      <alignment horizontal="righ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3" fillId="0" borderId="0" xfId="0" applyFont="1" applyAlignment="1">
      <alignment vertical="top"/>
    </xf>
    <xf numFmtId="0" fontId="3" fillId="0" borderId="0" xfId="0" applyFont="1" applyAlignment="1">
      <alignment vertical="center" wrapText="1"/>
    </xf>
    <xf numFmtId="0" fontId="3" fillId="6" borderId="13" xfId="0" applyFont="1" applyFill="1" applyBorder="1" applyAlignment="1">
      <alignment vertical="center"/>
    </xf>
    <xf numFmtId="2" fontId="3" fillId="6" borderId="13" xfId="0" applyNumberFormat="1" applyFont="1" applyFill="1" applyBorder="1" applyAlignment="1">
      <alignment vertical="center"/>
    </xf>
    <xf numFmtId="0" fontId="3" fillId="6" borderId="13" xfId="0" applyFont="1" applyFill="1" applyBorder="1" applyAlignment="1">
      <alignment horizontal="center" vertical="center"/>
    </xf>
    <xf numFmtId="0" fontId="23" fillId="0" borderId="0" xfId="0" applyFont="1"/>
    <xf numFmtId="0" fontId="7" fillId="6" borderId="0" xfId="0" applyFont="1" applyFill="1" applyAlignment="1">
      <alignment horizontal="center" vertical="center"/>
    </xf>
    <xf numFmtId="0" fontId="7" fillId="6" borderId="0" xfId="0" applyFont="1" applyFill="1" applyAlignment="1">
      <alignment horizontal="left" vertical="center"/>
    </xf>
    <xf numFmtId="0" fontId="7" fillId="6" borderId="0" xfId="0" applyFont="1" applyFill="1" applyAlignment="1">
      <alignment vertical="center"/>
    </xf>
    <xf numFmtId="2" fontId="3" fillId="6" borderId="13" xfId="0" applyNumberFormat="1" applyFont="1" applyFill="1" applyBorder="1" applyAlignment="1">
      <alignment horizontal="center" vertical="center"/>
    </xf>
    <xf numFmtId="1" fontId="3" fillId="6" borderId="13" xfId="0" applyNumberFormat="1" applyFont="1" applyFill="1" applyBorder="1" applyAlignment="1">
      <alignment horizontal="center" vertical="center"/>
    </xf>
    <xf numFmtId="3" fontId="3" fillId="6" borderId="13" xfId="0" applyNumberFormat="1" applyFont="1" applyFill="1" applyBorder="1" applyAlignment="1">
      <alignment horizontal="center" vertical="center"/>
    </xf>
    <xf numFmtId="0" fontId="3" fillId="6" borderId="3" xfId="0" applyFont="1" applyFill="1" applyBorder="1" applyAlignment="1">
      <alignment horizontal="center" vertical="center"/>
    </xf>
    <xf numFmtId="0" fontId="3" fillId="6" borderId="0" xfId="0" applyFont="1" applyFill="1" applyAlignment="1">
      <alignment horizontal="left" vertical="center"/>
    </xf>
    <xf numFmtId="0" fontId="3" fillId="6" borderId="1" xfId="0" applyFont="1" applyFill="1" applyBorder="1" applyAlignment="1">
      <alignment horizontal="center" vertical="center"/>
    </xf>
    <xf numFmtId="0" fontId="5" fillId="4" borderId="0" xfId="0" applyFont="1" applyFill="1" applyAlignment="1">
      <alignment horizontal="right" vertical="center"/>
    </xf>
    <xf numFmtId="0" fontId="24" fillId="0" borderId="0" xfId="0" applyFont="1" applyAlignment="1">
      <alignment horizontal="center" vertical="center"/>
    </xf>
    <xf numFmtId="0" fontId="3" fillId="0" borderId="3" xfId="0" applyFont="1" applyBorder="1" applyAlignment="1">
      <alignment horizontal="right" vertical="center"/>
    </xf>
    <xf numFmtId="166" fontId="3" fillId="0" borderId="0" xfId="0" applyNumberFormat="1" applyFont="1" applyAlignment="1">
      <alignment horizontal="left" vertical="center"/>
    </xf>
    <xf numFmtId="0" fontId="3" fillId="0" borderId="0" xfId="0" applyFont="1" applyAlignment="1">
      <alignment wrapText="1"/>
    </xf>
    <xf numFmtId="0" fontId="3" fillId="0" borderId="0" xfId="0" applyFont="1" applyAlignment="1">
      <alignment horizontal="left" wrapText="1"/>
    </xf>
    <xf numFmtId="0" fontId="13" fillId="0" borderId="0" xfId="0" applyFont="1" applyAlignment="1">
      <alignment horizontal="center" vertical="center"/>
    </xf>
    <xf numFmtId="0" fontId="3" fillId="6" borderId="15" xfId="0" applyFont="1" applyFill="1" applyBorder="1" applyAlignment="1">
      <alignment horizontal="center" vertical="center"/>
    </xf>
    <xf numFmtId="0" fontId="5" fillId="4" borderId="1" xfId="0" applyFont="1" applyFill="1" applyBorder="1" applyAlignment="1">
      <alignment horizontal="right" vertical="center"/>
    </xf>
    <xf numFmtId="0" fontId="3" fillId="4" borderId="1" xfId="0" applyFont="1" applyFill="1" applyBorder="1" applyAlignment="1">
      <alignment horizontal="left" vertical="center"/>
    </xf>
    <xf numFmtId="1" fontId="0" fillId="0" borderId="0" xfId="0" applyNumberFormat="1" applyAlignment="1">
      <alignment horizontal="center"/>
    </xf>
    <xf numFmtId="0" fontId="3" fillId="6" borderId="17"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7" xfId="0" applyFont="1" applyFill="1" applyBorder="1" applyAlignment="1">
      <alignment vertical="center"/>
    </xf>
    <xf numFmtId="4" fontId="3" fillId="6" borderId="8" xfId="0" applyNumberFormat="1" applyFont="1" applyFill="1" applyBorder="1" applyAlignment="1">
      <alignment vertical="center"/>
    </xf>
    <xf numFmtId="0" fontId="3" fillId="6" borderId="9" xfId="0" applyFont="1" applyFill="1" applyBorder="1" applyAlignment="1">
      <alignment vertical="center"/>
    </xf>
    <xf numFmtId="4" fontId="3" fillId="6" borderId="10" xfId="0" applyNumberFormat="1" applyFont="1" applyFill="1" applyBorder="1" applyAlignment="1">
      <alignment vertical="center"/>
    </xf>
    <xf numFmtId="0" fontId="5" fillId="3" borderId="3" xfId="0" applyFont="1" applyFill="1" applyBorder="1" applyAlignment="1">
      <alignment horizontal="right" vertical="center"/>
    </xf>
    <xf numFmtId="173" fontId="3" fillId="6" borderId="13" xfId="0" applyNumberFormat="1" applyFont="1" applyFill="1" applyBorder="1" applyAlignment="1">
      <alignment vertical="center"/>
    </xf>
    <xf numFmtId="1" fontId="3" fillId="0" borderId="3" xfId="0" applyNumberFormat="1" applyFont="1" applyBorder="1" applyAlignment="1">
      <alignment vertical="center"/>
    </xf>
    <xf numFmtId="2" fontId="3" fillId="6" borderId="0" xfId="0" applyNumberFormat="1" applyFont="1" applyFill="1" applyAlignment="1">
      <alignment horizontal="center" vertical="center"/>
    </xf>
    <xf numFmtId="0" fontId="16" fillId="0" borderId="0" xfId="0" applyFont="1" applyAlignment="1">
      <alignment vertical="center" wrapText="1"/>
    </xf>
    <xf numFmtId="0" fontId="5" fillId="0" borderId="0" xfId="0" applyFont="1" applyAlignment="1">
      <alignment vertical="center"/>
    </xf>
    <xf numFmtId="0" fontId="3" fillId="6" borderId="18" xfId="0" applyFont="1" applyFill="1" applyBorder="1" applyAlignment="1">
      <alignment horizontal="center" vertical="center"/>
    </xf>
    <xf numFmtId="168" fontId="0" fillId="7" borderId="14" xfId="0" applyNumberFormat="1" applyFill="1" applyBorder="1" applyAlignment="1">
      <alignment horizontal="center"/>
    </xf>
    <xf numFmtId="0" fontId="0" fillId="7" borderId="14" xfId="0" applyFill="1" applyBorder="1" applyAlignment="1">
      <alignment horizontal="center"/>
    </xf>
    <xf numFmtId="2" fontId="0" fillId="0" borderId="0" xfId="0" applyNumberFormat="1" applyAlignment="1">
      <alignment horizontal="center"/>
    </xf>
    <xf numFmtId="169" fontId="0" fillId="0" borderId="0" xfId="0" applyNumberFormat="1" applyAlignment="1">
      <alignment horizontal="center"/>
    </xf>
    <xf numFmtId="168" fontId="0" fillId="0" borderId="0" xfId="0" applyNumberFormat="1" applyAlignment="1">
      <alignment horizontal="center"/>
    </xf>
    <xf numFmtId="0" fontId="1" fillId="6" borderId="0" xfId="0" applyFont="1" applyFill="1" applyAlignment="1">
      <alignment horizontal="center" vertical="center"/>
    </xf>
    <xf numFmtId="0" fontId="0" fillId="0" borderId="0" xfId="0" applyAlignment="1">
      <alignment horizontal="center" vertical="center"/>
    </xf>
    <xf numFmtId="2" fontId="0" fillId="0" borderId="0" xfId="0" applyNumberFormat="1" applyAlignment="1">
      <alignment horizontal="center" vertical="center"/>
    </xf>
    <xf numFmtId="169" fontId="0" fillId="0" borderId="0" xfId="0" quotePrefix="1" applyNumberFormat="1" applyAlignment="1">
      <alignment horizontal="center" vertical="center"/>
    </xf>
    <xf numFmtId="168" fontId="0" fillId="0" borderId="0" xfId="0" applyNumberFormat="1" applyAlignment="1">
      <alignment horizontal="center" vertical="center"/>
    </xf>
    <xf numFmtId="168" fontId="0" fillId="0" borderId="0" xfId="0" quotePrefix="1" applyNumberFormat="1" applyAlignment="1">
      <alignment horizontal="center" vertical="center"/>
    </xf>
    <xf numFmtId="1" fontId="0" fillId="0" borderId="0" xfId="0" applyNumberFormat="1" applyAlignment="1">
      <alignment horizontal="center" vertical="center"/>
    </xf>
    <xf numFmtId="1" fontId="3" fillId="6" borderId="0" xfId="0" applyNumberFormat="1" applyFont="1" applyFill="1" applyAlignment="1">
      <alignment vertical="center"/>
    </xf>
    <xf numFmtId="1" fontId="3" fillId="6" borderId="17" xfId="0" applyNumberFormat="1" applyFont="1" applyFill="1" applyBorder="1" applyAlignment="1">
      <alignment horizontal="center" vertical="center"/>
    </xf>
    <xf numFmtId="0" fontId="23" fillId="0" borderId="0" xfId="0" applyFont="1" applyAlignment="1">
      <alignment horizontal="right" vertical="center"/>
    </xf>
    <xf numFmtId="0" fontId="3" fillId="0" borderId="12" xfId="0" applyFont="1" applyBorder="1" applyAlignment="1">
      <alignment horizontal="right" vertical="center"/>
    </xf>
    <xf numFmtId="0" fontId="0" fillId="0" borderId="22" xfId="0" applyBorder="1" applyAlignment="1">
      <alignment horizontal="right" vertical="center"/>
    </xf>
    <xf numFmtId="175" fontId="0" fillId="0" borderId="23" xfId="0" applyNumberFormat="1" applyBorder="1" applyAlignment="1">
      <alignment horizontal="center"/>
    </xf>
    <xf numFmtId="0" fontId="0" fillId="0" borderId="24" xfId="0" applyBorder="1" applyAlignment="1">
      <alignment horizontal="right" vertical="center"/>
    </xf>
    <xf numFmtId="0" fontId="0" fillId="9" borderId="25" xfId="0" applyFill="1" applyBorder="1" applyAlignment="1">
      <alignment horizontal="center"/>
    </xf>
    <xf numFmtId="175" fontId="0" fillId="9" borderId="14" xfId="0" applyNumberFormat="1" applyFill="1" applyBorder="1" applyAlignment="1">
      <alignment horizontal="center"/>
    </xf>
    <xf numFmtId="175" fontId="0" fillId="0" borderId="26" xfId="0" applyNumberFormat="1" applyBorder="1" applyAlignment="1">
      <alignment horizontal="center"/>
    </xf>
    <xf numFmtId="0" fontId="0" fillId="0" borderId="26" xfId="0" applyBorder="1" applyAlignment="1">
      <alignment horizontal="center"/>
    </xf>
    <xf numFmtId="0" fontId="0" fillId="0" borderId="27" xfId="0" applyBorder="1" applyAlignment="1">
      <alignment horizontal="right" vertical="center"/>
    </xf>
    <xf numFmtId="0" fontId="0" fillId="0" borderId="28" xfId="0" applyBorder="1" applyAlignment="1">
      <alignment horizontal="center"/>
    </xf>
    <xf numFmtId="0" fontId="26" fillId="8" borderId="19" xfId="0" applyFont="1" applyFill="1" applyBorder="1" applyAlignment="1">
      <alignment horizontal="center" vertical="center"/>
    </xf>
    <xf numFmtId="0" fontId="7" fillId="0" borderId="0" xfId="0" applyFont="1" applyAlignment="1">
      <alignment horizontal="right" vertical="center"/>
    </xf>
    <xf numFmtId="0" fontId="13" fillId="6" borderId="0" xfId="0" applyFont="1" applyFill="1" applyAlignment="1">
      <alignment vertical="center"/>
    </xf>
    <xf numFmtId="0" fontId="13" fillId="6" borderId="13" xfId="0" applyFont="1" applyFill="1" applyBorder="1" applyAlignment="1">
      <alignment horizontal="center" vertical="center"/>
    </xf>
    <xf numFmtId="166" fontId="13" fillId="6" borderId="0" xfId="0" applyNumberFormat="1" applyFont="1" applyFill="1" applyAlignment="1">
      <alignment horizontal="center" vertical="center"/>
    </xf>
    <xf numFmtId="0" fontId="0" fillId="0" borderId="0" xfId="0" applyAlignment="1">
      <alignment horizontal="right" vertical="center" indent="1"/>
    </xf>
    <xf numFmtId="0" fontId="7" fillId="0" borderId="13" xfId="0" applyFont="1" applyBorder="1" applyAlignment="1" applyProtection="1">
      <alignment horizontal="center" vertical="center"/>
      <protection locked="0"/>
    </xf>
    <xf numFmtId="176" fontId="7" fillId="0" borderId="0" xfId="0" applyNumberFormat="1" applyFont="1" applyAlignment="1">
      <alignment horizontal="right" vertical="center"/>
    </xf>
    <xf numFmtId="176" fontId="7" fillId="0" borderId="0" xfId="0" applyNumberFormat="1" applyFont="1" applyAlignment="1">
      <alignment vertical="center"/>
    </xf>
    <xf numFmtId="0" fontId="13" fillId="0" borderId="0" xfId="0" applyFont="1" applyAlignment="1">
      <alignment horizontal="left" vertical="center" indent="1"/>
    </xf>
    <xf numFmtId="0" fontId="13" fillId="0" borderId="0" xfId="0" applyFont="1" applyAlignment="1">
      <alignment horizontal="left" vertical="center" indent="3"/>
    </xf>
    <xf numFmtId="0" fontId="7" fillId="6" borderId="0" xfId="0" applyFont="1" applyFill="1" applyAlignment="1">
      <alignment horizontal="right" vertical="center"/>
    </xf>
    <xf numFmtId="0" fontId="3" fillId="0" borderId="0" xfId="0" quotePrefix="1" applyFont="1" applyAlignment="1">
      <alignment vertical="center"/>
    </xf>
    <xf numFmtId="0" fontId="3" fillId="0" borderId="1" xfId="0" applyFont="1" applyBorder="1" applyAlignment="1" applyProtection="1">
      <alignment vertical="center"/>
      <protection locked="0"/>
    </xf>
    <xf numFmtId="0" fontId="0" fillId="0" borderId="13" xfId="0" applyBorder="1" applyAlignment="1" applyProtection="1">
      <alignment horizontal="center" vertical="center"/>
      <protection locked="0"/>
    </xf>
    <xf numFmtId="0" fontId="0" fillId="0" borderId="13" xfId="0" applyBorder="1" applyAlignment="1">
      <alignment horizontal="center" vertical="center"/>
    </xf>
    <xf numFmtId="0" fontId="3" fillId="6" borderId="29" xfId="0" applyFont="1" applyFill="1" applyBorder="1" applyAlignment="1">
      <alignment horizontal="center" vertical="center"/>
    </xf>
    <xf numFmtId="169" fontId="13" fillId="0" borderId="0" xfId="0" applyNumberFormat="1" applyFont="1" applyAlignment="1">
      <alignment horizontal="right" vertical="center"/>
    </xf>
    <xf numFmtId="0" fontId="0" fillId="0" borderId="0" xfId="0" applyAlignment="1">
      <alignment horizontal="left" vertical="center" wrapText="1"/>
    </xf>
    <xf numFmtId="0" fontId="26" fillId="8" borderId="20" xfId="0" applyFont="1" applyFill="1" applyBorder="1" applyAlignment="1">
      <alignment horizontal="center" vertical="center"/>
    </xf>
    <xf numFmtId="0" fontId="26" fillId="8" borderId="21" xfId="0" applyFont="1" applyFill="1" applyBorder="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top" wrapText="1"/>
    </xf>
    <xf numFmtId="174" fontId="3" fillId="0" borderId="1" xfId="0" applyNumberFormat="1" applyFont="1" applyBorder="1" applyAlignment="1" applyProtection="1">
      <alignment horizontal="center" vertical="center"/>
      <protection locked="0"/>
    </xf>
    <xf numFmtId="0" fontId="2" fillId="0" borderId="0" xfId="0" applyFont="1" applyAlignment="1">
      <alignment horizontal="center" vertical="center" wrapText="1"/>
    </xf>
    <xf numFmtId="0" fontId="3" fillId="6" borderId="16" xfId="0" applyFont="1" applyFill="1" applyBorder="1" applyAlignment="1">
      <alignment horizontal="center" vertical="center"/>
    </xf>
    <xf numFmtId="0" fontId="3" fillId="6" borderId="17" xfId="0" applyFont="1" applyFill="1" applyBorder="1" applyAlignment="1">
      <alignment horizontal="center" vertical="center"/>
    </xf>
    <xf numFmtId="3" fontId="3" fillId="0" borderId="2" xfId="0" applyNumberFormat="1" applyFont="1" applyBorder="1" applyAlignment="1" applyProtection="1">
      <alignment horizontal="right" vertical="center"/>
      <protection locked="0"/>
    </xf>
    <xf numFmtId="3" fontId="3" fillId="0" borderId="1" xfId="0" applyNumberFormat="1" applyFont="1" applyBorder="1" applyAlignment="1" applyProtection="1">
      <alignment horizontal="right" vertical="center"/>
      <protection locked="0"/>
    </xf>
    <xf numFmtId="0" fontId="3" fillId="0" borderId="0" xfId="0" applyFont="1" applyAlignment="1">
      <alignment horizontal="left" vertical="center"/>
    </xf>
    <xf numFmtId="4" fontId="3" fillId="0" borderId="2" xfId="0" applyNumberFormat="1" applyFont="1" applyBorder="1" applyAlignment="1" applyProtection="1">
      <alignment horizontal="right" vertical="center"/>
      <protection locked="0"/>
    </xf>
    <xf numFmtId="164" fontId="3" fillId="0" borderId="1" xfId="0" applyNumberFormat="1" applyFont="1" applyBorder="1" applyAlignment="1" applyProtection="1">
      <alignment horizontal="center" vertical="center"/>
      <protection hidden="1"/>
    </xf>
    <xf numFmtId="2" fontId="3" fillId="0" borderId="1" xfId="0" applyNumberFormat="1" applyFont="1" applyBorder="1" applyAlignment="1" applyProtection="1">
      <alignment horizontal="right" vertical="center"/>
      <protection locked="0"/>
    </xf>
    <xf numFmtId="0" fontId="12" fillId="0" borderId="0" xfId="0" applyFont="1" applyAlignment="1">
      <alignment horizontal="left" vertical="center"/>
    </xf>
    <xf numFmtId="2" fontId="3" fillId="0" borderId="2" xfId="0" applyNumberFormat="1" applyFont="1" applyBorder="1" applyAlignment="1" applyProtection="1">
      <alignment horizontal="right" vertical="center"/>
      <protection locked="0"/>
    </xf>
    <xf numFmtId="4" fontId="3" fillId="0" borderId="1" xfId="0" applyNumberFormat="1" applyFont="1" applyBorder="1" applyAlignment="1" applyProtection="1">
      <alignment horizontal="right" vertical="center"/>
      <protection locked="0"/>
    </xf>
    <xf numFmtId="2" fontId="3" fillId="0" borderId="0" xfId="0" applyNumberFormat="1" applyFont="1" applyAlignment="1">
      <alignment horizontal="righ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2" xfId="0" applyFont="1" applyBorder="1" applyAlignment="1" applyProtection="1">
      <alignment horizontal="center" vertical="center"/>
      <protection hidden="1"/>
    </xf>
    <xf numFmtId="164" fontId="3" fillId="0" borderId="1" xfId="0" applyNumberFormat="1" applyFont="1" applyBorder="1" applyAlignment="1" applyProtection="1">
      <alignment horizontal="center" vertical="center"/>
      <protection locked="0"/>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170" fontId="3" fillId="0" borderId="2" xfId="0" applyNumberFormat="1" applyFont="1" applyBorder="1" applyAlignment="1" applyProtection="1">
      <alignment horizontal="left" vertical="center"/>
      <protection locked="0"/>
    </xf>
    <xf numFmtId="0" fontId="3" fillId="0" borderId="1" xfId="0" applyFont="1" applyBorder="1" applyAlignment="1" applyProtection="1">
      <alignment horizontal="left" vertical="center"/>
      <protection hidden="1"/>
    </xf>
    <xf numFmtId="168" fontId="16" fillId="0" borderId="0" xfId="0" applyNumberFormat="1" applyFont="1" applyAlignment="1">
      <alignment horizontal="left" vertical="center"/>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25" fillId="0" borderId="1" xfId="1" applyFont="1" applyBorder="1" applyAlignment="1" applyProtection="1">
      <alignment horizontal="left" vertical="center"/>
      <protection locked="0"/>
    </xf>
    <xf numFmtId="3" fontId="3" fillId="0" borderId="2" xfId="0" applyNumberFormat="1" applyFont="1" applyBorder="1" applyAlignment="1" applyProtection="1">
      <alignment horizontal="right" vertical="center"/>
      <protection hidden="1"/>
    </xf>
    <xf numFmtId="165" fontId="3" fillId="0" borderId="1" xfId="0" applyNumberFormat="1" applyFont="1" applyBorder="1" applyAlignment="1" applyProtection="1">
      <alignment horizontal="right" vertical="center"/>
      <protection locked="0"/>
    </xf>
    <xf numFmtId="177" fontId="3" fillId="0" borderId="1" xfId="0" applyNumberFormat="1" applyFont="1" applyBorder="1" applyAlignment="1" applyProtection="1">
      <alignment horizontal="right" vertical="center"/>
      <protection locked="0"/>
    </xf>
    <xf numFmtId="0" fontId="3" fillId="0" borderId="0" xfId="0" applyFont="1" applyAlignment="1" applyProtection="1">
      <alignment horizontal="center" vertical="center"/>
      <protection locked="0"/>
    </xf>
    <xf numFmtId="0" fontId="3" fillId="0" borderId="1" xfId="0" applyFont="1" applyBorder="1" applyAlignment="1" applyProtection="1">
      <alignment horizontal="center" vertical="center"/>
      <protection locked="0"/>
    </xf>
    <xf numFmtId="4" fontId="3" fillId="0" borderId="1" xfId="0" quotePrefix="1" applyNumberFormat="1" applyFont="1" applyBorder="1" applyAlignment="1" applyProtection="1">
      <alignment horizontal="right" vertical="center"/>
      <protection locked="0"/>
    </xf>
    <xf numFmtId="4" fontId="3" fillId="0" borderId="4" xfId="0" applyNumberFormat="1" applyFont="1" applyBorder="1" applyAlignment="1" applyProtection="1">
      <alignment horizontal="right" vertical="center"/>
      <protection locked="0"/>
    </xf>
    <xf numFmtId="0" fontId="3" fillId="0" borderId="0" xfId="0" applyFont="1" applyAlignment="1">
      <alignment horizontal="center" vertical="center" textRotation="90" wrapText="1"/>
    </xf>
    <xf numFmtId="173" fontId="3" fillId="0" borderId="1" xfId="0" applyNumberFormat="1" applyFont="1" applyBorder="1" applyAlignment="1" applyProtection="1">
      <alignment horizontal="right" vertical="center"/>
      <protection hidden="1"/>
    </xf>
    <xf numFmtId="0" fontId="3" fillId="0" borderId="0" xfId="0" applyFont="1" applyAlignment="1">
      <alignment horizontal="right" vertical="center"/>
    </xf>
    <xf numFmtId="4" fontId="3" fillId="0" borderId="1" xfId="0" applyNumberFormat="1" applyFont="1" applyBorder="1" applyAlignment="1" applyProtection="1">
      <alignment horizontal="right" vertical="center"/>
      <protection hidden="1"/>
    </xf>
    <xf numFmtId="0" fontId="3" fillId="6" borderId="16" xfId="0" applyFont="1" applyFill="1" applyBorder="1" applyAlignment="1">
      <alignment horizontal="left" vertical="center"/>
    </xf>
    <xf numFmtId="0" fontId="3" fillId="6" borderId="17" xfId="0" applyFont="1" applyFill="1" applyBorder="1" applyAlignment="1">
      <alignment horizontal="left" vertical="center"/>
    </xf>
    <xf numFmtId="0" fontId="3" fillId="0" borderId="0" xfId="0" applyFont="1" applyAlignment="1" applyProtection="1">
      <alignment horizontal="right" vertical="center"/>
      <protection locked="0"/>
    </xf>
    <xf numFmtId="4" fontId="3" fillId="0" borderId="1" xfId="0" applyNumberFormat="1" applyFont="1" applyBorder="1" applyAlignment="1">
      <alignment horizontal="right" vertical="center"/>
    </xf>
    <xf numFmtId="174" fontId="3" fillId="0" borderId="1" xfId="0" applyNumberFormat="1" applyFont="1" applyBorder="1" applyAlignment="1">
      <alignment horizontal="center" vertical="center"/>
    </xf>
    <xf numFmtId="0" fontId="16" fillId="0" borderId="0" xfId="0" applyFont="1" applyAlignment="1">
      <alignment horizontal="center" vertical="center" wrapText="1"/>
    </xf>
    <xf numFmtId="4" fontId="3" fillId="0" borderId="2" xfId="0" applyNumberFormat="1" applyFont="1" applyBorder="1" applyAlignment="1">
      <alignment horizontal="right" vertical="center"/>
    </xf>
    <xf numFmtId="4" fontId="3" fillId="0" borderId="2" xfId="0" applyNumberFormat="1" applyFont="1" applyBorder="1" applyAlignment="1" applyProtection="1">
      <alignment horizontal="right" vertical="center"/>
      <protection hidden="1"/>
    </xf>
    <xf numFmtId="2" fontId="3" fillId="0" borderId="2" xfId="0" applyNumberFormat="1" applyFont="1" applyBorder="1" applyAlignment="1">
      <alignment horizontal="right" vertical="center"/>
    </xf>
    <xf numFmtId="3" fontId="3" fillId="0" borderId="1" xfId="0" applyNumberFormat="1" applyFont="1" applyBorder="1" applyAlignment="1">
      <alignment horizontal="right" vertical="center"/>
    </xf>
    <xf numFmtId="3" fontId="3" fillId="0" borderId="2" xfId="0" applyNumberFormat="1" applyFont="1" applyBorder="1" applyAlignment="1">
      <alignment horizontal="right" vertical="center"/>
    </xf>
    <xf numFmtId="0" fontId="7" fillId="4" borderId="0" xfId="0" applyFont="1" applyFill="1" applyAlignment="1">
      <alignment horizontal="left" vertical="center"/>
    </xf>
    <xf numFmtId="0" fontId="7" fillId="3" borderId="0" xfId="0" applyFont="1" applyFill="1" applyAlignment="1">
      <alignment vertical="center"/>
    </xf>
    <xf numFmtId="164" fontId="3" fillId="0" borderId="2" xfId="0" applyNumberFormat="1" applyFont="1" applyBorder="1" applyAlignment="1" applyProtection="1">
      <alignment horizontal="center" vertical="center"/>
      <protection hidden="1"/>
    </xf>
    <xf numFmtId="2" fontId="3" fillId="0" borderId="2" xfId="0" applyNumberFormat="1" applyFont="1" applyBorder="1" applyAlignment="1" applyProtection="1">
      <alignment horizontal="right" vertical="center"/>
      <protection hidden="1"/>
    </xf>
    <xf numFmtId="2" fontId="3" fillId="0" borderId="1" xfId="0" applyNumberFormat="1" applyFont="1" applyBorder="1" applyAlignment="1">
      <alignment horizontal="right" vertical="center"/>
    </xf>
    <xf numFmtId="0" fontId="3" fillId="0" borderId="0" xfId="0" applyFont="1" applyAlignment="1">
      <alignment horizontal="left" vertical="top" wrapText="1"/>
    </xf>
    <xf numFmtId="171" fontId="3" fillId="0" borderId="1" xfId="0" applyNumberFormat="1" applyFont="1" applyBorder="1" applyAlignment="1" applyProtection="1">
      <alignment horizontal="left" vertical="center"/>
      <protection locked="0"/>
    </xf>
    <xf numFmtId="171" fontId="3" fillId="0" borderId="1" xfId="0" applyNumberFormat="1" applyFont="1" applyBorder="1" applyAlignment="1" applyProtection="1">
      <alignment horizontal="center" vertical="center"/>
      <protection locked="0"/>
    </xf>
    <xf numFmtId="172" fontId="3" fillId="0" borderId="1" xfId="0" applyNumberFormat="1" applyFont="1" applyBorder="1" applyAlignment="1" applyProtection="1">
      <alignment horizontal="center" vertical="center"/>
      <protection locked="0"/>
    </xf>
    <xf numFmtId="2" fontId="3" fillId="0" borderId="1" xfId="0" applyNumberFormat="1" applyFont="1" applyBorder="1" applyAlignment="1" applyProtection="1">
      <alignment horizontal="right" vertical="center"/>
      <protection hidden="1"/>
    </xf>
    <xf numFmtId="0" fontId="3" fillId="0" borderId="2" xfId="0" applyFont="1" applyBorder="1" applyAlignment="1">
      <alignment horizontal="left" vertical="center"/>
    </xf>
    <xf numFmtId="165" fontId="3" fillId="0" borderId="1" xfId="0" applyNumberFormat="1" applyFont="1" applyBorder="1" applyAlignment="1" applyProtection="1">
      <alignment horizontal="right" vertical="center"/>
      <protection hidden="1"/>
    </xf>
    <xf numFmtId="177" fontId="3" fillId="0" borderId="2" xfId="0" applyNumberFormat="1" applyFont="1" applyBorder="1" applyAlignment="1" applyProtection="1">
      <alignment horizontal="right" vertical="center"/>
      <protection hidden="1"/>
    </xf>
    <xf numFmtId="177" fontId="3" fillId="0" borderId="2" xfId="0" applyNumberFormat="1" applyFont="1" applyBorder="1" applyAlignment="1" applyProtection="1">
      <alignment horizontal="right" vertical="center"/>
      <protection locked="0"/>
    </xf>
    <xf numFmtId="167" fontId="3" fillId="0" borderId="1" xfId="2" applyNumberFormat="1" applyFont="1" applyBorder="1" applyAlignment="1" applyProtection="1">
      <alignment horizontal="right" vertical="center"/>
      <protection locked="0"/>
    </xf>
    <xf numFmtId="167" fontId="3" fillId="0" borderId="2" xfId="2" applyNumberFormat="1" applyFont="1" applyBorder="1" applyAlignment="1" applyProtection="1">
      <alignment horizontal="right" vertical="center"/>
      <protection locked="0"/>
    </xf>
    <xf numFmtId="0" fontId="3" fillId="0" borderId="2" xfId="0" applyFont="1" applyBorder="1" applyAlignment="1" applyProtection="1">
      <alignment horizontal="left" vertical="center"/>
      <protection hidden="1"/>
    </xf>
    <xf numFmtId="0" fontId="3" fillId="0" borderId="1" xfId="0" applyFont="1" applyBorder="1" applyAlignment="1">
      <alignment horizontal="left" vertical="center"/>
    </xf>
    <xf numFmtId="0" fontId="7" fillId="3" borderId="0" xfId="0" applyFont="1" applyFill="1" applyAlignment="1">
      <alignment horizontal="left" vertical="center"/>
    </xf>
    <xf numFmtId="3" fontId="3" fillId="0" borderId="1" xfId="0" applyNumberFormat="1" applyFont="1" applyBorder="1" applyAlignment="1" applyProtection="1">
      <alignment horizontal="right" vertical="center"/>
      <protection hidden="1"/>
    </xf>
    <xf numFmtId="0" fontId="9" fillId="0" borderId="2" xfId="1" applyBorder="1" applyAlignment="1" applyProtection="1">
      <alignment horizontal="left" vertical="center"/>
      <protection locked="0"/>
    </xf>
    <xf numFmtId="164" fontId="3" fillId="3" borderId="2" xfId="0" applyNumberFormat="1" applyFont="1" applyFill="1" applyBorder="1" applyAlignment="1">
      <alignment horizontal="left" vertical="center"/>
    </xf>
    <xf numFmtId="170" fontId="3" fillId="0" borderId="1" xfId="0" applyNumberFormat="1" applyFont="1" applyBorder="1" applyAlignment="1" applyProtection="1">
      <alignment horizontal="center" vertical="center"/>
      <protection locked="0"/>
    </xf>
  </cellXfs>
  <cellStyles count="3">
    <cellStyle name="Comma" xfId="2" builtinId="3"/>
    <cellStyle name="Hyperlink" xfId="1" builtinId="8"/>
    <cellStyle name="Normal" xfId="0" builtinId="0"/>
  </cellStyles>
  <dxfs count="330">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numFmt numFmtId="3" formatCode="#,##0"/>
    </dxf>
    <dxf>
      <numFmt numFmtId="178" formatCode="0.0000"/>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numFmt numFmtId="3" formatCode="#,##0"/>
    </dxf>
    <dxf>
      <numFmt numFmtId="173" formatCode="#,##0.0000"/>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5" tint="0.59996337778862885"/>
        </patternFill>
      </fill>
    </dxf>
    <dxf>
      <numFmt numFmtId="173" formatCode="#,##0.0000"/>
    </dxf>
    <dxf>
      <numFmt numFmtId="3" formatCode="#,##0"/>
    </dxf>
    <dxf>
      <fill>
        <patternFill>
          <bgColor theme="5" tint="0.59996337778862885"/>
        </patternFill>
      </fill>
    </dxf>
    <dxf>
      <fill>
        <patternFill>
          <bgColor theme="9" tint="0.59996337778862885"/>
        </patternFill>
      </fill>
    </dxf>
    <dxf>
      <numFmt numFmtId="178" formatCode="0.0000"/>
    </dxf>
    <dxf>
      <numFmt numFmtId="3" formatCode="#,##0"/>
    </dxf>
    <dxf>
      <fill>
        <patternFill>
          <bgColor theme="7" tint="0.59996337778862885"/>
        </patternFill>
      </fill>
    </dxf>
    <dxf>
      <border>
        <bottom style="thin">
          <color auto="1"/>
        </bottom>
        <vertical/>
        <horizontal/>
      </border>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numFmt numFmtId="178" formatCode="0.0000"/>
    </dxf>
    <dxf>
      <numFmt numFmtId="3" formatCode="#,##0"/>
    </dxf>
    <dxf>
      <fill>
        <patternFill>
          <bgColor theme="9" tint="0.59996337778862885"/>
        </patternFill>
      </fill>
    </dxf>
    <dxf>
      <fill>
        <patternFill>
          <bgColor theme="9" tint="0.59996337778862885"/>
        </patternFill>
      </fill>
    </dxf>
    <dxf>
      <numFmt numFmtId="3" formatCode="#,##0"/>
    </dxf>
    <dxf>
      <numFmt numFmtId="173" formatCode="#,##0.0000"/>
    </dxf>
    <dxf>
      <fill>
        <patternFill>
          <bgColor theme="9" tint="0.59996337778862885"/>
        </patternFill>
      </fill>
    </dxf>
    <dxf>
      <numFmt numFmtId="173" formatCode="#,##0.0000"/>
    </dxf>
    <dxf>
      <numFmt numFmtId="3" formatCode="#,##0"/>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5" tint="0.59996337778862885"/>
        </patternFill>
      </fill>
    </dxf>
    <dxf>
      <numFmt numFmtId="3" formatCode="#,##0"/>
    </dxf>
    <dxf>
      <numFmt numFmtId="173" formatCode="#,##0.0000"/>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numFmt numFmtId="3" formatCode="#,##0"/>
    </dxf>
    <dxf>
      <numFmt numFmtId="178" formatCode="0.000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7</xdr:col>
      <xdr:colOff>130615</xdr:colOff>
      <xdr:row>45</xdr:row>
      <xdr:rowOff>30979</xdr:rowOff>
    </xdr:from>
    <xdr:to>
      <xdr:col>7</xdr:col>
      <xdr:colOff>988500</xdr:colOff>
      <xdr:row>45</xdr:row>
      <xdr:rowOff>760790</xdr:rowOff>
    </xdr:to>
    <xdr:pic>
      <xdr:nvPicPr>
        <xdr:cNvPr id="14" name="Picture 13">
          <a:extLst>
            <a:ext uri="{FF2B5EF4-FFF2-40B4-BE49-F238E27FC236}">
              <a16:creationId xmlns:a16="http://schemas.microsoft.com/office/drawing/2014/main" id="{C7F67865-5892-4100-9292-454116CC24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98655" y="9334999"/>
          <a:ext cx="857885" cy="729811"/>
        </a:xfrm>
        <a:prstGeom prst="rect">
          <a:avLst/>
        </a:prstGeom>
        <a:noFill/>
        <a:ln>
          <a:noFill/>
        </a:ln>
      </xdr:spPr>
    </xdr:pic>
    <xdr:clientData/>
  </xdr:twoCellAnchor>
  <xdr:twoCellAnchor editAs="oneCell">
    <xdr:from>
      <xdr:col>5</xdr:col>
      <xdr:colOff>19598</xdr:colOff>
      <xdr:row>44</xdr:row>
      <xdr:rowOff>13450</xdr:rowOff>
    </xdr:from>
    <xdr:to>
      <xdr:col>5</xdr:col>
      <xdr:colOff>1009598</xdr:colOff>
      <xdr:row>45</xdr:row>
      <xdr:rowOff>1681</xdr:rowOff>
    </xdr:to>
    <xdr:pic>
      <xdr:nvPicPr>
        <xdr:cNvPr id="15" name="Picture 14">
          <a:extLst>
            <a:ext uri="{FF2B5EF4-FFF2-40B4-BE49-F238E27FC236}">
              <a16:creationId xmlns:a16="http://schemas.microsoft.com/office/drawing/2014/main" id="{3A697349-07D3-4FCF-872F-12CA17102FA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836" b="8220"/>
        <a:stretch>
          <a:fillRect/>
        </a:stretch>
      </xdr:blipFill>
      <xdr:spPr bwMode="auto">
        <a:xfrm>
          <a:off x="5954233" y="11340356"/>
          <a:ext cx="1005240" cy="797856"/>
        </a:xfrm>
        <a:prstGeom prst="rect">
          <a:avLst/>
        </a:prstGeom>
        <a:noFill/>
        <a:ln>
          <a:noFill/>
        </a:ln>
      </xdr:spPr>
    </xdr:pic>
    <xdr:clientData/>
  </xdr:twoCellAnchor>
  <xdr:twoCellAnchor editAs="oneCell">
    <xdr:from>
      <xdr:col>5</xdr:col>
      <xdr:colOff>19835</xdr:colOff>
      <xdr:row>40</xdr:row>
      <xdr:rowOff>23159</xdr:rowOff>
    </xdr:from>
    <xdr:to>
      <xdr:col>5</xdr:col>
      <xdr:colOff>797858</xdr:colOff>
      <xdr:row>41</xdr:row>
      <xdr:rowOff>3047</xdr:rowOff>
    </xdr:to>
    <xdr:pic>
      <xdr:nvPicPr>
        <xdr:cNvPr id="16" name="Picture 15">
          <a:extLst>
            <a:ext uri="{FF2B5EF4-FFF2-40B4-BE49-F238E27FC236}">
              <a16:creationId xmlns:a16="http://schemas.microsoft.com/office/drawing/2014/main" id="{DDC491A1-2C83-4368-9B90-DDF245DE85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54470" y="8051053"/>
          <a:ext cx="778023" cy="791418"/>
        </a:xfrm>
        <a:prstGeom prst="rect">
          <a:avLst/>
        </a:prstGeom>
        <a:ln>
          <a:noFill/>
        </a:ln>
      </xdr:spPr>
    </xdr:pic>
    <xdr:clientData/>
  </xdr:twoCellAnchor>
  <xdr:twoCellAnchor editAs="oneCell">
    <xdr:from>
      <xdr:col>5</xdr:col>
      <xdr:colOff>18273</xdr:colOff>
      <xdr:row>43</xdr:row>
      <xdr:rowOff>14006</xdr:rowOff>
    </xdr:from>
    <xdr:to>
      <xdr:col>5</xdr:col>
      <xdr:colOff>950259</xdr:colOff>
      <xdr:row>44</xdr:row>
      <xdr:rowOff>1610</xdr:rowOff>
    </xdr:to>
    <xdr:pic>
      <xdr:nvPicPr>
        <xdr:cNvPr id="17" name="Picture 16">
          <a:extLst>
            <a:ext uri="{FF2B5EF4-FFF2-40B4-BE49-F238E27FC236}">
              <a16:creationId xmlns:a16="http://schemas.microsoft.com/office/drawing/2014/main" id="{10FBDD41-132C-4F91-BF77-143A748FA9C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952908" y="10516159"/>
          <a:ext cx="931986" cy="793419"/>
        </a:xfrm>
        <a:prstGeom prst="rect">
          <a:avLst/>
        </a:prstGeom>
        <a:noFill/>
        <a:ln>
          <a:noFill/>
        </a:ln>
      </xdr:spPr>
    </xdr:pic>
    <xdr:clientData/>
  </xdr:twoCellAnchor>
  <xdr:twoCellAnchor editAs="oneCell">
    <xdr:from>
      <xdr:col>5</xdr:col>
      <xdr:colOff>17207</xdr:colOff>
      <xdr:row>41</xdr:row>
      <xdr:rowOff>8280</xdr:rowOff>
    </xdr:from>
    <xdr:to>
      <xdr:col>5</xdr:col>
      <xdr:colOff>799927</xdr:colOff>
      <xdr:row>42</xdr:row>
      <xdr:rowOff>1681</xdr:rowOff>
    </xdr:to>
    <xdr:pic>
      <xdr:nvPicPr>
        <xdr:cNvPr id="18" name="Picture 17" descr="Logo&#10;&#10;Description automatically generated">
          <a:extLst>
            <a:ext uri="{FF2B5EF4-FFF2-40B4-BE49-F238E27FC236}">
              <a16:creationId xmlns:a16="http://schemas.microsoft.com/office/drawing/2014/main" id="{9C5F8A1B-AB7B-498D-85B7-56BA44049F1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951842" y="8860927"/>
          <a:ext cx="782720" cy="803026"/>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7</xdr:col>
          <xdr:colOff>0</xdr:colOff>
          <xdr:row>39</xdr:row>
          <xdr:rowOff>19050</xdr:rowOff>
        </xdr:from>
        <xdr:to>
          <xdr:col>7</xdr:col>
          <xdr:colOff>1424940</xdr:colOff>
          <xdr:row>40</xdr:row>
          <xdr:rowOff>19050</xdr:rowOff>
        </xdr:to>
        <xdr:pic>
          <xdr:nvPicPr>
            <xdr:cNvPr id="20" name="Picture 19">
              <a:extLst>
                <a:ext uri="{FF2B5EF4-FFF2-40B4-BE49-F238E27FC236}">
                  <a16:creationId xmlns:a16="http://schemas.microsoft.com/office/drawing/2014/main" id="{AB14D78F-A308-F074-E42E-CA63C272EE02}"/>
                </a:ext>
              </a:extLst>
            </xdr:cNvPr>
            <xdr:cNvPicPr>
              <a:picLocks noChangeAspect="1" noChangeArrowheads="1"/>
              <a:extLst>
                <a:ext uri="{84589F7E-364E-4C9E-8A38-B11213B215E9}">
                  <a14:cameraTool cellRange="Logo" spid="_x0000_s23662"/>
                </a:ext>
              </a:extLst>
            </xdr:cNvPicPr>
          </xdr:nvPicPr>
          <xdr:blipFill>
            <a:blip xmlns:r="http://schemas.openxmlformats.org/officeDocument/2006/relationships" r:embed="rId6"/>
            <a:srcRect/>
            <a:stretch>
              <a:fillRect/>
            </a:stretch>
          </xdr:blipFill>
          <xdr:spPr bwMode="auto">
            <a:xfrm>
              <a:off x="7677150" y="7124700"/>
              <a:ext cx="1428750" cy="8191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5</xdr:col>
      <xdr:colOff>11658</xdr:colOff>
      <xdr:row>45</xdr:row>
      <xdr:rowOff>152400</xdr:rowOff>
    </xdr:from>
    <xdr:to>
      <xdr:col>6</xdr:col>
      <xdr:colOff>19050</xdr:colOff>
      <xdr:row>45</xdr:row>
      <xdr:rowOff>668536</xdr:rowOff>
    </xdr:to>
    <xdr:pic>
      <xdr:nvPicPr>
        <xdr:cNvPr id="2" name="Picture 1">
          <a:extLst>
            <a:ext uri="{FF2B5EF4-FFF2-40B4-BE49-F238E27FC236}">
              <a16:creationId xmlns:a16="http://schemas.microsoft.com/office/drawing/2014/main" id="{ECAF3DCD-53DA-4310-895E-C65D996BD0C4}"/>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5947638" y="12260580"/>
          <a:ext cx="1420902" cy="516136"/>
        </a:xfrm>
        <a:prstGeom prst="rect">
          <a:avLst/>
        </a:prstGeom>
      </xdr:spPr>
    </xdr:pic>
    <xdr:clientData/>
  </xdr:twoCellAnchor>
  <xdr:twoCellAnchor editAs="oneCell">
    <xdr:from>
      <xdr:col>5</xdr:col>
      <xdr:colOff>16817</xdr:colOff>
      <xdr:row>38</xdr:row>
      <xdr:rowOff>162599</xdr:rowOff>
    </xdr:from>
    <xdr:to>
      <xdr:col>5</xdr:col>
      <xdr:colOff>855928</xdr:colOff>
      <xdr:row>40</xdr:row>
      <xdr:rowOff>20395</xdr:rowOff>
    </xdr:to>
    <xdr:pic>
      <xdr:nvPicPr>
        <xdr:cNvPr id="3" name="Picture 2">
          <a:extLst>
            <a:ext uri="{FF2B5EF4-FFF2-40B4-BE49-F238E27FC236}">
              <a16:creationId xmlns:a16="http://schemas.microsoft.com/office/drawing/2014/main" id="{6A71A3C4-EA6D-4208-B035-CD095B34E818}"/>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5951452" y="7181964"/>
          <a:ext cx="854351" cy="85489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31</xdr:col>
      <xdr:colOff>130175</xdr:colOff>
      <xdr:row>51</xdr:row>
      <xdr:rowOff>38100</xdr:rowOff>
    </xdr:from>
    <xdr:ext cx="712568" cy="259080"/>
    <xdr:pic>
      <xdr:nvPicPr>
        <xdr:cNvPr id="4" name="Picture 3">
          <a:extLst>
            <a:ext uri="{FF2B5EF4-FFF2-40B4-BE49-F238E27FC236}">
              <a16:creationId xmlns:a16="http://schemas.microsoft.com/office/drawing/2014/main" id="{A89EB338-552B-4A0D-8973-ECBCD70620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72175" y="8775700"/>
          <a:ext cx="712568" cy="259080"/>
        </a:xfrm>
        <a:prstGeom prst="rect">
          <a:avLst/>
        </a:prstGeom>
      </xdr:spPr>
    </xdr:pic>
    <xdr:clientData/>
  </xdr:oneCellAnchor>
  <xdr:oneCellAnchor>
    <xdr:from>
      <xdr:col>32</xdr:col>
      <xdr:colOff>2540</xdr:colOff>
      <xdr:row>102</xdr:row>
      <xdr:rowOff>82550</xdr:rowOff>
    </xdr:from>
    <xdr:ext cx="712568" cy="259080"/>
    <xdr:pic>
      <xdr:nvPicPr>
        <xdr:cNvPr id="5" name="Picture 4">
          <a:extLst>
            <a:ext uri="{FF2B5EF4-FFF2-40B4-BE49-F238E27FC236}">
              <a16:creationId xmlns:a16="http://schemas.microsoft.com/office/drawing/2014/main" id="{4FADBA19-A477-4875-9B90-4FA3083DB8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35040" y="17081500"/>
          <a:ext cx="712568" cy="259080"/>
        </a:xfrm>
        <a:prstGeom prst="rect">
          <a:avLst/>
        </a:prstGeom>
      </xdr:spPr>
    </xdr:pic>
    <xdr:clientData/>
  </xdr:oneCellAnchor>
  <xdr:oneCellAnchor>
    <xdr:from>
      <xdr:col>31</xdr:col>
      <xdr:colOff>156845</xdr:colOff>
      <xdr:row>156</xdr:row>
      <xdr:rowOff>53340</xdr:rowOff>
    </xdr:from>
    <xdr:ext cx="712568" cy="259080"/>
    <xdr:pic>
      <xdr:nvPicPr>
        <xdr:cNvPr id="9" name="Picture 8">
          <a:extLst>
            <a:ext uri="{FF2B5EF4-FFF2-40B4-BE49-F238E27FC236}">
              <a16:creationId xmlns:a16="http://schemas.microsoft.com/office/drawing/2014/main" id="{7BC2CF75-5770-4B37-871F-A036937923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8845" y="2552319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95886</xdr:colOff>
          <xdr:row>4</xdr:row>
          <xdr:rowOff>19626</xdr:rowOff>
        </xdr:to>
        <xdr:pic>
          <xdr:nvPicPr>
            <xdr:cNvPr id="7" name="Picture 6">
              <a:extLst>
                <a:ext uri="{FF2B5EF4-FFF2-40B4-BE49-F238E27FC236}">
                  <a16:creationId xmlns:a16="http://schemas.microsoft.com/office/drawing/2014/main" id="{E347A45E-F3C6-02F3-570E-43F54C08818C}"/>
                </a:ext>
              </a:extLst>
            </xdr:cNvPr>
            <xdr:cNvPicPr>
              <a:picLocks noChangeAspect="1" noChangeArrowheads="1"/>
              <a:extLst>
                <a:ext uri="{84589F7E-364E-4C9E-8A38-B11213B215E9}">
                  <a14:cameraTool cellRange="Logo" spid="_x0000_s28803"/>
                </a:ext>
              </a:extLst>
            </xdr:cNvPicPr>
          </xdr:nvPicPr>
          <xdr:blipFill>
            <a:blip xmlns:r="http://schemas.openxmlformats.org/officeDocument/2006/relationships" r:embed="rId2"/>
            <a:srcRect/>
            <a:stretch>
              <a:fillRect/>
            </a:stretch>
          </xdr:blipFill>
          <xdr:spPr bwMode="auto">
            <a:xfrm>
              <a:off x="1" y="0"/>
              <a:ext cx="1352550" cy="768291"/>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0</xdr:row>
          <xdr:rowOff>0</xdr:rowOff>
        </xdr:from>
        <xdr:to>
          <xdr:col>53</xdr:col>
          <xdr:colOff>94615</xdr:colOff>
          <xdr:row>3</xdr:row>
          <xdr:rowOff>187783</xdr:rowOff>
        </xdr:to>
        <xdr:pic>
          <xdr:nvPicPr>
            <xdr:cNvPr id="11" name="Picture 10">
              <a:extLst>
                <a:ext uri="{FF2B5EF4-FFF2-40B4-BE49-F238E27FC236}">
                  <a16:creationId xmlns:a16="http://schemas.microsoft.com/office/drawing/2014/main" id="{4F7F737B-BA5D-FBFC-9A08-6865C6C4ED2D}"/>
                </a:ext>
              </a:extLst>
            </xdr:cNvPr>
            <xdr:cNvPicPr>
              <a:picLocks noChangeAspect="1" noChangeArrowheads="1"/>
              <a:extLst>
                <a:ext uri="{84589F7E-364E-4C9E-8A38-B11213B215E9}">
                  <a14:cameraTool cellRange="Logo" spid="_x0000_s28804"/>
                </a:ext>
              </a:extLst>
            </xdr:cNvPicPr>
          </xdr:nvPicPr>
          <xdr:blipFill>
            <a:blip xmlns:r="http://schemas.openxmlformats.org/officeDocument/2006/relationships" r:embed="rId2"/>
            <a:srcRect/>
            <a:stretch>
              <a:fillRect/>
            </a:stretch>
          </xdr:blipFill>
          <xdr:spPr bwMode="auto">
            <a:xfrm>
              <a:off x="14706600" y="0"/>
              <a:ext cx="1320800" cy="759283"/>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31</xdr:col>
      <xdr:colOff>172085</xdr:colOff>
      <xdr:row>200</xdr:row>
      <xdr:rowOff>59690</xdr:rowOff>
    </xdr:from>
    <xdr:ext cx="712568" cy="259080"/>
    <xdr:pic>
      <xdr:nvPicPr>
        <xdr:cNvPr id="3" name="Picture 2">
          <a:extLst>
            <a:ext uri="{FF2B5EF4-FFF2-40B4-BE49-F238E27FC236}">
              <a16:creationId xmlns:a16="http://schemas.microsoft.com/office/drawing/2014/main" id="{918EAE78-A9C2-4725-A92A-8545EB013F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4085" y="33911540"/>
          <a:ext cx="712568" cy="2590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33</xdr:col>
      <xdr:colOff>89535</xdr:colOff>
      <xdr:row>55</xdr:row>
      <xdr:rowOff>76200</xdr:rowOff>
    </xdr:from>
    <xdr:ext cx="712568" cy="259080"/>
    <xdr:pic>
      <xdr:nvPicPr>
        <xdr:cNvPr id="6" name="Picture 5">
          <a:extLst>
            <a:ext uri="{FF2B5EF4-FFF2-40B4-BE49-F238E27FC236}">
              <a16:creationId xmlns:a16="http://schemas.microsoft.com/office/drawing/2014/main" id="{9D60A0B2-5823-4ACD-935B-9AF1728BF6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25235" y="8769350"/>
          <a:ext cx="712568" cy="259080"/>
        </a:xfrm>
        <a:prstGeom prst="rect">
          <a:avLst/>
        </a:prstGeom>
      </xdr:spPr>
    </xdr:pic>
    <xdr:clientData/>
  </xdr:oneCellAnchor>
  <xdr:oneCellAnchor>
    <xdr:from>
      <xdr:col>33</xdr:col>
      <xdr:colOff>142240</xdr:colOff>
      <xdr:row>104</xdr:row>
      <xdr:rowOff>91440</xdr:rowOff>
    </xdr:from>
    <xdr:ext cx="712568" cy="259080"/>
    <xdr:pic>
      <xdr:nvPicPr>
        <xdr:cNvPr id="7" name="Picture 6">
          <a:extLst>
            <a:ext uri="{FF2B5EF4-FFF2-40B4-BE49-F238E27FC236}">
              <a16:creationId xmlns:a16="http://schemas.microsoft.com/office/drawing/2014/main" id="{1ECB30E9-64FF-4324-8AC5-645D2B81BF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77280" y="9235440"/>
          <a:ext cx="712568" cy="259080"/>
        </a:xfrm>
        <a:prstGeom prst="rect">
          <a:avLst/>
        </a:prstGeom>
      </xdr:spPr>
    </xdr:pic>
    <xdr:clientData/>
  </xdr:oneCellAnchor>
  <xdr:oneCellAnchor>
    <xdr:from>
      <xdr:col>31</xdr:col>
      <xdr:colOff>88900</xdr:colOff>
      <xdr:row>150</xdr:row>
      <xdr:rowOff>29119</xdr:rowOff>
    </xdr:from>
    <xdr:ext cx="712568" cy="259080"/>
    <xdr:pic>
      <xdr:nvPicPr>
        <xdr:cNvPr id="8" name="Picture 7">
          <a:extLst>
            <a:ext uri="{FF2B5EF4-FFF2-40B4-BE49-F238E27FC236}">
              <a16:creationId xmlns:a16="http://schemas.microsoft.com/office/drawing/2014/main" id="{5DF91135-C8C3-4848-9AB5-BA9558DCB7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9971" y="31345958"/>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1</xdr:rowOff>
        </xdr:from>
        <xdr:to>
          <xdr:col>7</xdr:col>
          <xdr:colOff>20320</xdr:colOff>
          <xdr:row>3</xdr:row>
          <xdr:rowOff>171219</xdr:rowOff>
        </xdr:to>
        <xdr:pic>
          <xdr:nvPicPr>
            <xdr:cNvPr id="11" name="Picture 10">
              <a:extLst>
                <a:ext uri="{FF2B5EF4-FFF2-40B4-BE49-F238E27FC236}">
                  <a16:creationId xmlns:a16="http://schemas.microsoft.com/office/drawing/2014/main" id="{3B7BF18F-553A-458A-AC81-9F2ACE6711E2}"/>
                </a:ext>
              </a:extLst>
            </xdr:cNvPr>
            <xdr:cNvPicPr>
              <a:picLocks noChangeAspect="1" noChangeArrowheads="1"/>
              <a:extLst>
                <a:ext uri="{84589F7E-364E-4C9E-8A38-B11213B215E9}">
                  <a14:cameraTool cellRange="Logo" spid="_x0000_s31828"/>
                </a:ext>
              </a:extLst>
            </xdr:cNvPicPr>
          </xdr:nvPicPr>
          <xdr:blipFill>
            <a:blip xmlns:r="http://schemas.openxmlformats.org/officeDocument/2006/relationships" r:embed="rId2"/>
            <a:srcRect/>
            <a:stretch>
              <a:fillRect/>
            </a:stretch>
          </xdr:blipFill>
          <xdr:spPr bwMode="auto">
            <a:xfrm>
              <a:off x="0" y="1"/>
              <a:ext cx="1301750" cy="75033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0</xdr:row>
          <xdr:rowOff>0</xdr:rowOff>
        </xdr:from>
        <xdr:to>
          <xdr:col>53</xdr:col>
          <xdr:colOff>93891</xdr:colOff>
          <xdr:row>4</xdr:row>
          <xdr:rowOff>0</xdr:rowOff>
        </xdr:to>
        <xdr:pic>
          <xdr:nvPicPr>
            <xdr:cNvPr id="13" name="Picture 12">
              <a:extLst>
                <a:ext uri="{FF2B5EF4-FFF2-40B4-BE49-F238E27FC236}">
                  <a16:creationId xmlns:a16="http://schemas.microsoft.com/office/drawing/2014/main" id="{48ED1FBB-CA88-FF8F-4FA7-AC949F1E808B}"/>
                </a:ext>
              </a:extLst>
            </xdr:cNvPr>
            <xdr:cNvPicPr>
              <a:picLocks noChangeAspect="1" noChangeArrowheads="1"/>
              <a:extLst>
                <a:ext uri="{84589F7E-364E-4C9E-8A38-B11213B215E9}">
                  <a14:cameraTool cellRange="Logo" spid="_x0000_s31829"/>
                </a:ext>
              </a:extLst>
            </xdr:cNvPicPr>
          </xdr:nvPicPr>
          <xdr:blipFill>
            <a:blip xmlns:r="http://schemas.openxmlformats.org/officeDocument/2006/relationships" r:embed="rId2"/>
            <a:srcRect/>
            <a:stretch>
              <a:fillRect/>
            </a:stretch>
          </xdr:blipFill>
          <xdr:spPr bwMode="auto">
            <a:xfrm>
              <a:off x="7404100" y="0"/>
              <a:ext cx="1321981" cy="76200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32</xdr:col>
      <xdr:colOff>112485</xdr:colOff>
      <xdr:row>243</xdr:row>
      <xdr:rowOff>75021</xdr:rowOff>
    </xdr:from>
    <xdr:ext cx="712568" cy="259080"/>
    <xdr:pic>
      <xdr:nvPicPr>
        <xdr:cNvPr id="2" name="Picture 1">
          <a:extLst>
            <a:ext uri="{FF2B5EF4-FFF2-40B4-BE49-F238E27FC236}">
              <a16:creationId xmlns:a16="http://schemas.microsoft.com/office/drawing/2014/main" id="{B9C7CDC6-2939-4815-B6EE-0612FF730E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47253" y="41991825"/>
          <a:ext cx="712568" cy="259080"/>
        </a:xfrm>
        <a:prstGeom prst="rect">
          <a:avLst/>
        </a:prstGeom>
      </xdr:spPr>
    </xdr:pic>
    <xdr:clientData/>
  </xdr:oneCellAnchor>
  <xdr:oneCellAnchor>
    <xdr:from>
      <xdr:col>31</xdr:col>
      <xdr:colOff>88900</xdr:colOff>
      <xdr:row>199</xdr:row>
      <xdr:rowOff>29119</xdr:rowOff>
    </xdr:from>
    <xdr:ext cx="712568" cy="259080"/>
    <xdr:pic>
      <xdr:nvPicPr>
        <xdr:cNvPr id="3" name="Picture 2">
          <a:extLst>
            <a:ext uri="{FF2B5EF4-FFF2-40B4-BE49-F238E27FC236}">
              <a16:creationId xmlns:a16="http://schemas.microsoft.com/office/drawing/2014/main" id="{C9AE8B9C-517B-4254-BB50-0D2D4C0DEB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43781" y="25248053"/>
          <a:ext cx="71256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10">
    <sortCondition ref="D2:D10"/>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0" totalsRowShown="0">
  <autoFilter ref="F1:F10" xr:uid="{6939741E-8EC4-48CA-B62A-CDE619601AF9}"/>
  <sortState xmlns:xlrd2="http://schemas.microsoft.com/office/spreadsheetml/2017/richdata2" ref="F2:F10">
    <sortCondition ref="F2:F10"/>
  </sortState>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5" totalsRowShown="0">
  <autoFilter ref="H1:H5"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22" totalsRowShown="0">
  <autoFilter ref="J1:J22"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20E0CD-9FF5-4429-B02C-A4AA875B3A00}" name="OP" displayName="OP" ref="H8:H14" totalsRowShown="0" headerRowDxfId="329" dataDxfId="328">
  <autoFilter ref="H8:H14" xr:uid="{EE20E0CD-9FF5-4429-B02C-A4AA875B3A00}"/>
  <tableColumns count="1">
    <tableColumn id="1" xr3:uid="{AA4983EF-89D2-4540-A45A-86C4621A9AB1}" name="Outlet Protection" dataDxfId="32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E4BCC4E-C487-450B-8E14-8D68B69F52DC}" name="Storms" displayName="Storms" ref="K26:L32" totalsRowShown="0" headerRowDxfId="326">
  <autoFilter ref="K26:L32" xr:uid="{7E4BCC4E-C487-450B-8E14-8D68B69F52DC}"/>
  <tableColumns count="2">
    <tableColumn id="1" xr3:uid="{7063CFA3-EC61-45E9-A215-36570FEAAB66}" name="Known or Adj Storm" dataDxfId="325"/>
    <tableColumn id="2" xr3:uid="{01429BCA-C88B-4D28-B15F-9C579589AFE7}" name="Requirements" dataDxfId="3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192689E-BA64-4BE7-A09A-A34D1522C432}" name="Table8" displayName="Table8" ref="L35:L37" totalsRowShown="0" headerRowDxfId="323" dataDxfId="322">
  <autoFilter ref="L35:L37" xr:uid="{0192689E-BA64-4BE7-A09A-A34D1522C432}"/>
  <tableColumns count="1">
    <tableColumn id="1" xr3:uid="{08486E68-83D9-47F6-916A-6DEF58F685F3}" name="Question" dataDxfId="32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10DD18-5DCB-4D1C-90B8-A6404DAADCA8}" name="Table810" displayName="Table810" ref="B11:B14" totalsRowShown="0" headerRowDxfId="320" dataDxfId="319">
  <autoFilter ref="B11:B14" xr:uid="{BC10DD18-5DCB-4D1C-90B8-A6404DAADCA8}"/>
  <tableColumns count="1">
    <tableColumn id="1" xr3:uid="{7C4A9372-E85F-4118-B51C-79558F58E656}" name="Acceptance Table" dataDxfId="31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B9C1B16-ED65-4A97-83E1-D9DC7AE43E1B}" name="RRC" displayName="RRC" ref="H17:H22" totalsRowShown="0" headerRowDxfId="317" dataDxfId="316">
  <autoFilter ref="H17:H22" xr:uid="{8B9C1B16-ED65-4A97-83E1-D9DC7AE43E1B}"/>
  <tableColumns count="1">
    <tableColumn id="1" xr3:uid="{2FC111C7-628D-4970-9143-D0E1E66105D2}" name="Riprap Class" dataDxfId="315"/>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12" Type="http://schemas.openxmlformats.org/officeDocument/2006/relationships/table" Target="../tables/table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T47"/>
  <sheetViews>
    <sheetView showGridLines="0" zoomScaleNormal="100" workbookViewId="0">
      <selection activeCell="F14" sqref="F14"/>
    </sheetView>
  </sheetViews>
  <sheetFormatPr defaultRowHeight="14.4" x14ac:dyDescent="0.3"/>
  <cols>
    <col min="1" max="1" width="28.44140625" bestFit="1" customWidth="1"/>
    <col min="2" max="2" width="25.5546875" bestFit="1" customWidth="1"/>
    <col min="3" max="3" width="4.77734375" customWidth="1"/>
    <col min="4" max="4" width="26.33203125" bestFit="1" customWidth="1"/>
    <col min="5" max="5" width="3.77734375" customWidth="1"/>
    <col min="6" max="6" width="20.77734375" customWidth="1"/>
    <col min="7" max="7" width="4.5546875" bestFit="1" customWidth="1"/>
    <col min="8" max="8" width="26" bestFit="1" customWidth="1"/>
    <col min="9" max="9" width="3.77734375" customWidth="1"/>
    <col min="10" max="10" width="75.5546875" bestFit="1" customWidth="1"/>
    <col min="11" max="11" width="20" customWidth="1"/>
    <col min="12" max="12" width="23.33203125" bestFit="1" customWidth="1"/>
    <col min="13" max="13" width="23.33203125" customWidth="1"/>
    <col min="14" max="15" width="20.44140625" bestFit="1" customWidth="1"/>
    <col min="16" max="16" width="20.44140625" customWidth="1"/>
    <col min="17" max="17" width="25" bestFit="1" customWidth="1"/>
    <col min="18" max="19" width="20.44140625" bestFit="1" customWidth="1"/>
  </cols>
  <sheetData>
    <row r="1" spans="1:19" x14ac:dyDescent="0.3">
      <c r="A1" s="167" t="s">
        <v>440</v>
      </c>
      <c r="B1" s="168"/>
      <c r="D1" t="s">
        <v>21</v>
      </c>
      <c r="F1" t="s">
        <v>31</v>
      </c>
      <c r="H1" t="s">
        <v>59</v>
      </c>
      <c r="J1" t="s">
        <v>77</v>
      </c>
      <c r="K1">
        <v>1</v>
      </c>
      <c r="L1" s="148" t="s">
        <v>274</v>
      </c>
      <c r="M1" s="148" t="s">
        <v>452</v>
      </c>
      <c r="N1" s="148" t="s">
        <v>149</v>
      </c>
      <c r="O1" s="148" t="s">
        <v>223</v>
      </c>
      <c r="P1" s="148" t="s">
        <v>520</v>
      </c>
      <c r="Q1" s="148" t="s">
        <v>151</v>
      </c>
      <c r="R1" s="148" t="s">
        <v>148</v>
      </c>
      <c r="S1" s="148" t="s">
        <v>150</v>
      </c>
    </row>
    <row r="2" spans="1:19" x14ac:dyDescent="0.3">
      <c r="A2" s="139" t="s">
        <v>441</v>
      </c>
      <c r="B2" s="140">
        <f>EDATE(F$13,B3)</f>
        <v>46661</v>
      </c>
      <c r="D2" t="s">
        <v>22</v>
      </c>
      <c r="F2" t="s">
        <v>321</v>
      </c>
      <c r="H2" t="s">
        <v>201</v>
      </c>
      <c r="J2" t="s">
        <v>270</v>
      </c>
      <c r="K2">
        <f>K1+1</f>
        <v>2</v>
      </c>
      <c r="L2" s="79" t="s">
        <v>5</v>
      </c>
      <c r="M2" s="130">
        <v>1</v>
      </c>
      <c r="N2" s="130">
        <v>1.1000000000000001</v>
      </c>
      <c r="O2" s="130">
        <v>1.1000000000000001</v>
      </c>
      <c r="P2" s="130">
        <v>1.1000000000000001</v>
      </c>
      <c r="Q2" s="130">
        <v>1.2</v>
      </c>
      <c r="R2" s="130">
        <v>1.1000000000000001</v>
      </c>
      <c r="S2" s="130">
        <v>1.1000000000000001</v>
      </c>
    </row>
    <row r="3" spans="1:19" x14ac:dyDescent="0.3">
      <c r="A3" s="141" t="s">
        <v>442</v>
      </c>
      <c r="B3" s="142">
        <v>13</v>
      </c>
      <c r="D3" t="s">
        <v>67</v>
      </c>
      <c r="F3" t="s">
        <v>322</v>
      </c>
      <c r="H3" t="s">
        <v>202</v>
      </c>
      <c r="J3" t="s">
        <v>72</v>
      </c>
      <c r="K3">
        <f t="shared" ref="K3:K19" si="0">K2+1</f>
        <v>3</v>
      </c>
      <c r="L3" s="79" t="s">
        <v>6</v>
      </c>
      <c r="M3" s="130">
        <v>6.02</v>
      </c>
      <c r="N3" s="130">
        <v>4.1100000000000003</v>
      </c>
      <c r="O3" s="130">
        <v>4.1399999999999997</v>
      </c>
      <c r="P3" s="130">
        <v>4.12</v>
      </c>
      <c r="Q3" s="130">
        <v>5.7</v>
      </c>
      <c r="R3" s="130">
        <v>4.24</v>
      </c>
      <c r="S3" s="130">
        <v>4.21</v>
      </c>
    </row>
    <row r="4" spans="1:19" x14ac:dyDescent="0.3">
      <c r="A4" s="141" t="s">
        <v>443</v>
      </c>
      <c r="B4" s="143"/>
      <c r="D4" t="s">
        <v>68</v>
      </c>
      <c r="F4" t="s">
        <v>187</v>
      </c>
      <c r="H4" t="s">
        <v>278</v>
      </c>
      <c r="J4" t="s">
        <v>78</v>
      </c>
      <c r="K4">
        <f t="shared" si="0"/>
        <v>4</v>
      </c>
      <c r="L4" s="79" t="s">
        <v>7</v>
      </c>
      <c r="M4" s="130">
        <v>7.68</v>
      </c>
      <c r="N4" s="130">
        <v>5.01</v>
      </c>
      <c r="O4" s="130">
        <v>5.0599999999999996</v>
      </c>
      <c r="P4" s="130">
        <v>5.05</v>
      </c>
      <c r="Q4" s="130">
        <v>7.21</v>
      </c>
      <c r="R4" s="130">
        <v>5.3</v>
      </c>
      <c r="S4" s="130">
        <v>5.24</v>
      </c>
    </row>
    <row r="5" spans="1:19" x14ac:dyDescent="0.3">
      <c r="A5" s="141" t="s">
        <v>444</v>
      </c>
      <c r="B5" s="142" t="s">
        <v>478</v>
      </c>
      <c r="D5" t="s">
        <v>26</v>
      </c>
      <c r="F5" t="s">
        <v>186</v>
      </c>
      <c r="H5" t="s">
        <v>259</v>
      </c>
      <c r="J5" t="s">
        <v>69</v>
      </c>
      <c r="K5">
        <f t="shared" si="0"/>
        <v>5</v>
      </c>
      <c r="L5" s="79" t="s">
        <v>8</v>
      </c>
      <c r="M5" s="130">
        <v>9.26</v>
      </c>
      <c r="N5" s="130">
        <v>5.87</v>
      </c>
      <c r="O5" s="130">
        <v>5.91</v>
      </c>
      <c r="P5" s="130">
        <v>5.83</v>
      </c>
      <c r="Q5" s="130">
        <v>8.6300000000000008</v>
      </c>
      <c r="R5" s="130">
        <v>6.24</v>
      </c>
      <c r="S5" s="130">
        <v>6.17</v>
      </c>
    </row>
    <row r="6" spans="1:19" x14ac:dyDescent="0.3">
      <c r="A6" s="141" t="s">
        <v>445</v>
      </c>
      <c r="B6" s="144">
        <f>IF(ISBLANK($B$4),$B$2,$B$4)</f>
        <v>46661</v>
      </c>
      <c r="D6" t="s">
        <v>24</v>
      </c>
      <c r="F6" t="s">
        <v>189</v>
      </c>
      <c r="J6" t="str">
        <f>"Emergency Spillway Velocity &gt; "&amp;$F$26&amp;" ft/s"</f>
        <v>Emergency Spillway Velocity &gt; 6 ft/s</v>
      </c>
      <c r="K6">
        <f t="shared" si="0"/>
        <v>6</v>
      </c>
      <c r="L6" s="79" t="s">
        <v>9</v>
      </c>
      <c r="M6" s="130">
        <v>11.7</v>
      </c>
      <c r="N6" s="130">
        <v>7.21</v>
      </c>
      <c r="O6" s="130">
        <v>7.26</v>
      </c>
      <c r="P6" s="130">
        <v>6.91</v>
      </c>
      <c r="Q6" s="130">
        <v>10.8</v>
      </c>
      <c r="R6" s="130">
        <v>7.64</v>
      </c>
      <c r="S6" s="130">
        <v>7.55</v>
      </c>
    </row>
    <row r="7" spans="1:19" x14ac:dyDescent="0.3">
      <c r="A7" s="141" t="s">
        <v>446</v>
      </c>
      <c r="B7" s="145" t="b">
        <f>IF(License!$F$2="I ACCEPT",TRUE,FALSE)</f>
        <v>0</v>
      </c>
      <c r="D7" t="s">
        <v>23</v>
      </c>
      <c r="F7" t="s">
        <v>188</v>
      </c>
      <c r="J7" t="s">
        <v>437</v>
      </c>
      <c r="K7">
        <f t="shared" si="0"/>
        <v>7</v>
      </c>
      <c r="L7" s="79" t="s">
        <v>320</v>
      </c>
      <c r="M7" s="130">
        <v>13.9</v>
      </c>
      <c r="N7" s="130">
        <v>8.3699999999999992</v>
      </c>
      <c r="O7" s="130">
        <v>8.48</v>
      </c>
      <c r="P7" s="130">
        <v>7.75</v>
      </c>
      <c r="Q7" s="130">
        <v>12.7</v>
      </c>
      <c r="R7" s="130">
        <v>8.8000000000000007</v>
      </c>
      <c r="S7" s="130">
        <v>8.6999999999999993</v>
      </c>
    </row>
    <row r="8" spans="1:19" x14ac:dyDescent="0.3">
      <c r="A8" s="146" t="s">
        <v>447</v>
      </c>
      <c r="B8" s="147" t="b">
        <f ca="1">OR(License!$F$4=B5, AND(B7=TRUE, NOW()&lt;B6))</f>
        <v>0</v>
      </c>
      <c r="D8" t="s">
        <v>28</v>
      </c>
      <c r="F8" t="s">
        <v>356</v>
      </c>
      <c r="H8" s="20" t="s">
        <v>426</v>
      </c>
      <c r="J8" t="s">
        <v>108</v>
      </c>
      <c r="K8">
        <f t="shared" si="0"/>
        <v>8</v>
      </c>
      <c r="L8" s="79" t="s">
        <v>10</v>
      </c>
      <c r="M8" s="130">
        <v>16.3</v>
      </c>
      <c r="N8" s="130">
        <v>9.65</v>
      </c>
      <c r="O8" s="130">
        <v>9.83</v>
      </c>
      <c r="P8" s="130">
        <v>8.6</v>
      </c>
      <c r="Q8" s="130">
        <v>14.8</v>
      </c>
      <c r="R8" s="130">
        <v>10</v>
      </c>
      <c r="S8" s="130">
        <v>9.93</v>
      </c>
    </row>
    <row r="9" spans="1:19" ht="15.6" x14ac:dyDescent="0.35">
      <c r="A9" s="20"/>
      <c r="B9" s="20"/>
      <c r="D9" t="s">
        <v>25</v>
      </c>
      <c r="F9" t="s">
        <v>271</v>
      </c>
      <c r="H9" s="20" t="s">
        <v>427</v>
      </c>
      <c r="J9" t="s">
        <v>142</v>
      </c>
      <c r="K9">
        <f t="shared" si="0"/>
        <v>9</v>
      </c>
      <c r="L9" s="79" t="s">
        <v>226</v>
      </c>
      <c r="M9" s="131">
        <v>40574</v>
      </c>
      <c r="N9" s="131" t="s">
        <v>227</v>
      </c>
      <c r="O9" s="131" t="s">
        <v>228</v>
      </c>
      <c r="P9" s="131"/>
      <c r="Q9" s="131" t="s">
        <v>229</v>
      </c>
      <c r="R9" s="131" t="s">
        <v>229</v>
      </c>
      <c r="S9" s="131" t="s">
        <v>230</v>
      </c>
    </row>
    <row r="10" spans="1:19" x14ac:dyDescent="0.3">
      <c r="A10" s="20"/>
      <c r="B10" s="20"/>
      <c r="D10" t="s">
        <v>66</v>
      </c>
      <c r="F10" t="s">
        <v>28</v>
      </c>
      <c r="H10" s="20" t="s">
        <v>428</v>
      </c>
      <c r="J10" t="s">
        <v>350</v>
      </c>
      <c r="K10">
        <f t="shared" si="0"/>
        <v>10</v>
      </c>
      <c r="L10" s="79" t="s">
        <v>231</v>
      </c>
      <c r="M10" s="129" t="s">
        <v>233</v>
      </c>
      <c r="N10" s="129" t="s">
        <v>232</v>
      </c>
      <c r="O10" s="129" t="s">
        <v>233</v>
      </c>
      <c r="P10" s="129" t="s">
        <v>233</v>
      </c>
      <c r="Q10" s="129" t="s">
        <v>232</v>
      </c>
      <c r="R10" s="129" t="s">
        <v>232</v>
      </c>
      <c r="S10" s="129" t="s">
        <v>232</v>
      </c>
    </row>
    <row r="11" spans="1:19" x14ac:dyDescent="0.3">
      <c r="A11" s="20"/>
      <c r="B11" s="20" t="s">
        <v>448</v>
      </c>
      <c r="H11" s="20" t="s">
        <v>429</v>
      </c>
      <c r="J11" t="s">
        <v>263</v>
      </c>
      <c r="K11">
        <f t="shared" si="0"/>
        <v>11</v>
      </c>
      <c r="L11" s="79" t="s">
        <v>234</v>
      </c>
      <c r="M11" s="129" t="s">
        <v>483</v>
      </c>
      <c r="N11" s="129" t="s">
        <v>235</v>
      </c>
      <c r="O11" s="129" t="s">
        <v>115</v>
      </c>
      <c r="P11" s="129"/>
      <c r="Q11" s="129" t="s">
        <v>115</v>
      </c>
      <c r="R11" s="129" t="s">
        <v>115</v>
      </c>
      <c r="S11" s="129" t="s">
        <v>115</v>
      </c>
    </row>
    <row r="12" spans="1:19" ht="16.2" x14ac:dyDescent="0.3">
      <c r="A12" s="20"/>
      <c r="B12" s="20" t="s">
        <v>449</v>
      </c>
      <c r="H12" s="20" t="s">
        <v>430</v>
      </c>
      <c r="J12" t="s">
        <v>542</v>
      </c>
      <c r="K12">
        <f t="shared" si="0"/>
        <v>12</v>
      </c>
      <c r="L12" s="79" t="s">
        <v>272</v>
      </c>
      <c r="M12" s="129"/>
      <c r="N12" s="129"/>
      <c r="O12" s="129"/>
      <c r="P12" s="129"/>
      <c r="Q12" s="129" t="s">
        <v>276</v>
      </c>
      <c r="R12" s="129" t="s">
        <v>313</v>
      </c>
      <c r="S12" s="129"/>
    </row>
    <row r="13" spans="1:19" x14ac:dyDescent="0.3">
      <c r="A13" s="20"/>
      <c r="B13" s="20" t="s">
        <v>450</v>
      </c>
      <c r="D13" s="79" t="s">
        <v>218</v>
      </c>
      <c r="F13" s="123">
        <v>46266</v>
      </c>
      <c r="H13" s="20" t="s">
        <v>431</v>
      </c>
      <c r="J13" t="str">
        <f>F25&amp;" has not been provided"</f>
        <v>0 has not been provided</v>
      </c>
      <c r="K13">
        <f t="shared" si="0"/>
        <v>13</v>
      </c>
      <c r="L13" s="79" t="s">
        <v>273</v>
      </c>
      <c r="M13" s="129">
        <v>6</v>
      </c>
      <c r="N13" s="129">
        <v>5</v>
      </c>
      <c r="O13" s="129">
        <v>5</v>
      </c>
      <c r="P13" s="129">
        <v>6</v>
      </c>
      <c r="Q13" s="129">
        <v>5</v>
      </c>
      <c r="R13" s="129">
        <v>6</v>
      </c>
      <c r="S13" s="129">
        <v>6</v>
      </c>
    </row>
    <row r="14" spans="1:19" x14ac:dyDescent="0.3">
      <c r="A14" s="20"/>
      <c r="B14" s="20" t="s">
        <v>451</v>
      </c>
      <c r="D14" s="82" t="s">
        <v>152</v>
      </c>
      <c r="F14" s="124" t="s">
        <v>452</v>
      </c>
      <c r="H14" s="20" t="s">
        <v>28</v>
      </c>
      <c r="J14" t="s">
        <v>384</v>
      </c>
      <c r="K14">
        <f t="shared" si="0"/>
        <v>14</v>
      </c>
      <c r="L14" s="79" t="s">
        <v>295</v>
      </c>
      <c r="M14" s="133" t="s">
        <v>347</v>
      </c>
      <c r="N14" s="132"/>
      <c r="O14" s="132"/>
      <c r="P14" s="132"/>
      <c r="Q14" s="133" t="s">
        <v>347</v>
      </c>
      <c r="R14" s="133" t="s">
        <v>296</v>
      </c>
      <c r="S14" s="133" t="s">
        <v>297</v>
      </c>
    </row>
    <row r="15" spans="1:19" x14ac:dyDescent="0.3">
      <c r="D15" s="79" t="s">
        <v>5</v>
      </c>
      <c r="F15" s="125">
        <f>HLOOKUP($F$14,$M$1:$S$23,2)</f>
        <v>1</v>
      </c>
      <c r="G15" s="80" t="str">
        <f>TEXT(F15,"0.00")</f>
        <v>1.00</v>
      </c>
      <c r="J15" t="str">
        <f>"Known flooding:  "&amp;'Form 2B.1 - Design'!AS123&amp;"-yr discharge &gt; "&amp;'Form 2B.1 - Design'!AR123&amp;"-yr discharge"</f>
        <v>Known flooding:  2, 5, 10, 25, 50, and 100-yr discharge &gt; 2, 5, 10, 25, 50, and 100-yr discharge</v>
      </c>
      <c r="K15">
        <f t="shared" si="0"/>
        <v>15</v>
      </c>
      <c r="L15" s="79" t="s">
        <v>324</v>
      </c>
      <c r="M15" s="129" t="s">
        <v>325</v>
      </c>
      <c r="N15" t="s">
        <v>325</v>
      </c>
      <c r="O15" t="s">
        <v>325</v>
      </c>
      <c r="P15" s="129" t="s">
        <v>325</v>
      </c>
      <c r="Q15" t="s">
        <v>325</v>
      </c>
      <c r="R15" t="s">
        <v>325</v>
      </c>
      <c r="S15" t="s">
        <v>325</v>
      </c>
    </row>
    <row r="16" spans="1:19" x14ac:dyDescent="0.3">
      <c r="D16" s="79" t="s">
        <v>6</v>
      </c>
      <c r="F16" s="125">
        <f>HLOOKUP($F$14,$M$1:$S$23,3)</f>
        <v>6.02</v>
      </c>
      <c r="J16" t="str">
        <f>"Drains to adjacent property:  "&amp;'Form 2B.1 - Design'!AS123&amp;"-yr discharge &gt; "&amp;'Form 2B.1 - Design'!AR123&amp;"-yr discharge"</f>
        <v>Drains to adjacent property:  2, 5, 10, 25, 50, and 100-yr discharge &gt; 2, 5, 10, 25, 50, and 100-yr discharge</v>
      </c>
      <c r="K16">
        <f t="shared" si="0"/>
        <v>16</v>
      </c>
      <c r="L16" s="79" t="s">
        <v>354</v>
      </c>
      <c r="M16" s="129">
        <v>6</v>
      </c>
      <c r="N16" s="80">
        <v>5</v>
      </c>
      <c r="O16" s="80">
        <v>6</v>
      </c>
      <c r="P16" s="129">
        <v>6</v>
      </c>
      <c r="Q16" s="80">
        <v>5</v>
      </c>
      <c r="R16" s="80">
        <v>6</v>
      </c>
      <c r="S16" s="80">
        <v>6</v>
      </c>
    </row>
    <row r="17" spans="1:20" x14ac:dyDescent="0.3">
      <c r="D17" s="79" t="s">
        <v>7</v>
      </c>
      <c r="F17" s="125">
        <f>HLOOKUP($F$14,$M$1:$S$23,4)</f>
        <v>7.68</v>
      </c>
      <c r="G17" s="81"/>
      <c r="H17" s="20" t="s">
        <v>537</v>
      </c>
      <c r="J17" t="s">
        <v>353</v>
      </c>
      <c r="K17">
        <f t="shared" si="0"/>
        <v>17</v>
      </c>
      <c r="L17" s="79" t="s">
        <v>355</v>
      </c>
      <c r="M17" s="129" t="s">
        <v>137</v>
      </c>
      <c r="N17" s="129" t="s">
        <v>137</v>
      </c>
      <c r="O17" s="129" t="s">
        <v>137</v>
      </c>
      <c r="P17" s="129" t="s">
        <v>137</v>
      </c>
      <c r="Q17" s="129" t="s">
        <v>137</v>
      </c>
      <c r="R17" s="129" t="s">
        <v>137</v>
      </c>
      <c r="S17" s="129" t="s">
        <v>137</v>
      </c>
    </row>
    <row r="18" spans="1:20" x14ac:dyDescent="0.3">
      <c r="D18" s="79" t="s">
        <v>8</v>
      </c>
      <c r="F18" s="125">
        <f>HLOOKUP($F$14,$M$1:$S$23,5)</f>
        <v>9.26</v>
      </c>
      <c r="H18" s="129">
        <v>1</v>
      </c>
      <c r="J18" t="str">
        <f>"Outlet Control Structure Velocity &gt; "&amp;$F$26&amp;" ft/s"</f>
        <v>Outlet Control Structure Velocity &gt; 6 ft/s</v>
      </c>
      <c r="K18">
        <f t="shared" si="0"/>
        <v>18</v>
      </c>
      <c r="L18" s="79" t="s">
        <v>359</v>
      </c>
      <c r="M18" s="129">
        <v>25</v>
      </c>
      <c r="N18" s="129">
        <v>25</v>
      </c>
      <c r="O18" s="129">
        <v>25</v>
      </c>
      <c r="P18" s="129">
        <v>25</v>
      </c>
      <c r="Q18" s="129">
        <v>2</v>
      </c>
      <c r="R18" s="129">
        <v>25</v>
      </c>
      <c r="S18" s="129">
        <v>25</v>
      </c>
    </row>
    <row r="19" spans="1:20" x14ac:dyDescent="0.3">
      <c r="D19" s="79" t="s">
        <v>9</v>
      </c>
      <c r="F19" s="125">
        <f>HLOOKUP($F$14,$M$1:$S$23,6)</f>
        <v>11.7</v>
      </c>
      <c r="H19" s="129">
        <v>2</v>
      </c>
      <c r="J19" t="s">
        <v>396</v>
      </c>
      <c r="K19" s="20">
        <f t="shared" si="0"/>
        <v>19</v>
      </c>
      <c r="L19" s="79" t="s">
        <v>412</v>
      </c>
      <c r="M19" s="129" t="str">
        <f t="shared" ref="M19" si="1">VLOOKUP(M18,$K$27:$L$32,2)</f>
        <v>25, 50, and 100</v>
      </c>
      <c r="N19" s="129" t="str">
        <f>VLOOKUP(N18,$K$27:$L$32,2)</f>
        <v>25, 50, and 100</v>
      </c>
      <c r="O19" s="129" t="str">
        <f>VLOOKUP(O18,$K$27:$L$32,2)</f>
        <v>25, 50, and 100</v>
      </c>
      <c r="P19" s="129" t="str">
        <f>VLOOKUP(P18,$K$27:$L$32,2)</f>
        <v>25, 50, and 100</v>
      </c>
      <c r="Q19" s="129" t="str">
        <f t="shared" ref="Q19:S19" si="2">VLOOKUP(Q18,$K$27:$L$32,2)</f>
        <v>2, 5, 10, 25, 50, and 100</v>
      </c>
      <c r="R19" s="129" t="str">
        <f t="shared" si="2"/>
        <v>25, 50, and 100</v>
      </c>
      <c r="S19" s="129" t="str">
        <f t="shared" si="2"/>
        <v>25, 50, and 100</v>
      </c>
    </row>
    <row r="20" spans="1:20" x14ac:dyDescent="0.3">
      <c r="A20" s="20"/>
      <c r="B20" s="20"/>
      <c r="D20" s="79" t="s">
        <v>320</v>
      </c>
      <c r="F20" s="125">
        <f>HLOOKUP($F$14,$M$1:$S$23,7)</f>
        <v>13.9</v>
      </c>
      <c r="H20" s="129">
        <v>3</v>
      </c>
      <c r="J20" s="20" t="s">
        <v>436</v>
      </c>
      <c r="K20">
        <v>20</v>
      </c>
      <c r="L20" s="79" t="s">
        <v>360</v>
      </c>
      <c r="M20" s="129" t="s">
        <v>137</v>
      </c>
      <c r="N20" s="129" t="s">
        <v>137</v>
      </c>
      <c r="O20" s="129" t="s">
        <v>137</v>
      </c>
      <c r="P20" s="129" t="s">
        <v>137</v>
      </c>
      <c r="Q20" s="129" t="s">
        <v>175</v>
      </c>
      <c r="R20" s="129" t="s">
        <v>175</v>
      </c>
      <c r="S20" s="129" t="s">
        <v>175</v>
      </c>
    </row>
    <row r="21" spans="1:20" x14ac:dyDescent="0.3">
      <c r="A21" s="20"/>
      <c r="B21" s="20"/>
      <c r="D21" s="79" t="s">
        <v>10</v>
      </c>
      <c r="F21" s="125">
        <f>HLOOKUP($F$14,$M$1:$S$23,8)</f>
        <v>16.3</v>
      </c>
      <c r="H21" s="129">
        <v>4</v>
      </c>
      <c r="J21" s="20" t="s">
        <v>422</v>
      </c>
      <c r="K21">
        <v>21</v>
      </c>
      <c r="L21" s="79" t="s">
        <v>361</v>
      </c>
      <c r="M21" s="129">
        <v>25</v>
      </c>
      <c r="N21" s="129">
        <v>25</v>
      </c>
      <c r="O21" s="129">
        <v>25</v>
      </c>
      <c r="P21" s="129">
        <v>25</v>
      </c>
      <c r="Q21" s="129">
        <v>2</v>
      </c>
      <c r="R21" s="129">
        <v>25</v>
      </c>
      <c r="S21" s="129">
        <v>25</v>
      </c>
    </row>
    <row r="22" spans="1:20" x14ac:dyDescent="0.3">
      <c r="A22" s="20"/>
      <c r="D22" s="79" t="s">
        <v>226</v>
      </c>
      <c r="F22" s="126">
        <f>HLOOKUP($F$14,$M$1:$S$23,9)</f>
        <v>40574</v>
      </c>
      <c r="H22" s="129">
        <v>5</v>
      </c>
      <c r="J22" t="e">
        <f>"For Class "&amp;'Form 2B.1 - Design'!AR83&amp;" Riprap, the minimum depth is "&amp;'Form 2B.1 - Design'!AS83&amp;"0-feet"</f>
        <v>#N/A</v>
      </c>
      <c r="K22" s="20">
        <f t="shared" ref="K22:K23" si="3">K21+1</f>
        <v>22</v>
      </c>
      <c r="L22" s="79" t="s">
        <v>420</v>
      </c>
      <c r="M22" s="129" t="str">
        <f t="shared" ref="M22" si="4">VLOOKUP(M21,$K$27:$L$32,2)</f>
        <v>25, 50, and 100</v>
      </c>
      <c r="N22" s="129" t="str">
        <f>VLOOKUP(N21,$K$27:$L$32,2)</f>
        <v>25, 50, and 100</v>
      </c>
      <c r="O22" s="129" t="str">
        <f>VLOOKUP(O21,$K$27:$L$32,2)</f>
        <v>25, 50, and 100</v>
      </c>
      <c r="P22" s="129" t="str">
        <f>VLOOKUP(P21,$K$27:$L$32,2)</f>
        <v>25, 50, and 100</v>
      </c>
      <c r="Q22" s="129" t="str">
        <f t="shared" ref="Q22:S22" si="5">VLOOKUP(Q21,$K$27:$L$32,2)</f>
        <v>2, 5, 10, 25, 50, and 100</v>
      </c>
      <c r="R22" s="129" t="str">
        <f t="shared" si="5"/>
        <v>25, 50, and 100</v>
      </c>
      <c r="S22" s="129" t="str">
        <f t="shared" si="5"/>
        <v>25, 50, and 100</v>
      </c>
      <c r="T22" s="20"/>
    </row>
    <row r="23" spans="1:20" x14ac:dyDescent="0.3">
      <c r="A23" s="20"/>
      <c r="D23" s="79" t="s">
        <v>236</v>
      </c>
      <c r="F23" s="126" t="str">
        <f>HLOOKUP($F$14,$M$1:$S$23,10)</f>
        <v>County</v>
      </c>
      <c r="K23" s="20">
        <f t="shared" si="3"/>
        <v>23</v>
      </c>
      <c r="L23" s="79" t="s">
        <v>411</v>
      </c>
      <c r="M23" s="129" t="s">
        <v>484</v>
      </c>
      <c r="N23" s="129" t="s">
        <v>521</v>
      </c>
      <c r="O23" s="129" t="s">
        <v>521</v>
      </c>
      <c r="P23" s="129" t="s">
        <v>521</v>
      </c>
      <c r="Q23" s="129" t="s">
        <v>521</v>
      </c>
      <c r="R23" s="129" t="s">
        <v>522</v>
      </c>
      <c r="S23" s="129" t="s">
        <v>521</v>
      </c>
      <c r="T23" s="20"/>
    </row>
    <row r="24" spans="1:20" x14ac:dyDescent="0.3">
      <c r="A24" s="20"/>
      <c r="D24" s="79" t="s">
        <v>234</v>
      </c>
      <c r="F24" s="126" t="str">
        <f>HLOOKUP($F$14,$M$1:$S$23,11)</f>
        <v xml:space="preserve"> O&amp;M Plan</v>
      </c>
      <c r="K24" s="20">
        <v>24</v>
      </c>
      <c r="L24" s="79" t="s">
        <v>459</v>
      </c>
      <c r="M24" s="129" t="s">
        <v>452</v>
      </c>
      <c r="N24" s="129" t="s">
        <v>460</v>
      </c>
      <c r="O24" s="129" t="s">
        <v>461</v>
      </c>
      <c r="P24" s="129" t="s">
        <v>520</v>
      </c>
      <c r="Q24" s="129" t="s">
        <v>462</v>
      </c>
      <c r="R24" s="129" t="s">
        <v>463</v>
      </c>
      <c r="S24" s="129" t="s">
        <v>464</v>
      </c>
    </row>
    <row r="25" spans="1:20" x14ac:dyDescent="0.3">
      <c r="A25" s="20"/>
      <c r="D25" s="79" t="s">
        <v>272</v>
      </c>
      <c r="F25" s="125">
        <f>HLOOKUP($F$14,$M$1:$S$23,12)</f>
        <v>0</v>
      </c>
    </row>
    <row r="26" spans="1:20" x14ac:dyDescent="0.3">
      <c r="D26" s="79" t="s">
        <v>273</v>
      </c>
      <c r="F26" s="125">
        <f>HLOOKUP($F$14,$M$1:$S$23,13)</f>
        <v>6</v>
      </c>
      <c r="K26" s="129" t="s">
        <v>413</v>
      </c>
      <c r="L26" s="129" t="s">
        <v>414</v>
      </c>
      <c r="M26" s="129"/>
    </row>
    <row r="27" spans="1:20" x14ac:dyDescent="0.3">
      <c r="D27" s="79" t="s">
        <v>317</v>
      </c>
      <c r="F27" s="127" t="str">
        <f>HLOOKUP($F$14,$M$1:$S$23,14)</f>
        <v>31 December</v>
      </c>
      <c r="K27" s="20">
        <v>2</v>
      </c>
      <c r="L27" s="79" t="s">
        <v>325</v>
      </c>
      <c r="M27" s="79"/>
    </row>
    <row r="28" spans="1:20" x14ac:dyDescent="0.3">
      <c r="D28" s="79" t="s">
        <v>324</v>
      </c>
      <c r="F28" s="127" t="str">
        <f>HLOOKUP($F$14,$M$1:$S$23,15)</f>
        <v>2, 5, 10, 25, 50, and 100</v>
      </c>
      <c r="K28" s="20">
        <v>5</v>
      </c>
      <c r="L28" s="79" t="s">
        <v>416</v>
      </c>
      <c r="M28" s="79"/>
    </row>
    <row r="29" spans="1:20" x14ac:dyDescent="0.3">
      <c r="D29" s="79" t="s">
        <v>355</v>
      </c>
      <c r="E29" s="108"/>
      <c r="F29" s="127" t="str">
        <f>HLOOKUP($F$14,$M$1:$S$23,17)</f>
        <v>No</v>
      </c>
      <c r="K29" s="20">
        <v>10</v>
      </c>
      <c r="L29" s="79" t="s">
        <v>417</v>
      </c>
      <c r="M29" s="79"/>
      <c r="N29" s="20"/>
    </row>
    <row r="30" spans="1:20" x14ac:dyDescent="0.3">
      <c r="D30" s="82" t="s">
        <v>359</v>
      </c>
      <c r="F30" s="108">
        <f>HLOOKUP($F$14,$M$1:$S$23,18)</f>
        <v>25</v>
      </c>
      <c r="K30" s="20">
        <v>25</v>
      </c>
      <c r="L30" s="79" t="s">
        <v>418</v>
      </c>
      <c r="M30" s="79"/>
      <c r="N30" s="20"/>
    </row>
    <row r="31" spans="1:20" x14ac:dyDescent="0.3">
      <c r="D31" s="79" t="s">
        <v>412</v>
      </c>
      <c r="F31" s="108" t="str">
        <f>HLOOKUP($F$14,$M$1:$S$23,19)</f>
        <v>25, 50, and 100</v>
      </c>
      <c r="K31" s="20">
        <v>50</v>
      </c>
      <c r="L31" s="79" t="s">
        <v>419</v>
      </c>
      <c r="M31" s="79"/>
      <c r="N31" s="20"/>
    </row>
    <row r="32" spans="1:20" x14ac:dyDescent="0.3">
      <c r="D32" s="82" t="s">
        <v>360</v>
      </c>
      <c r="F32" s="127" t="str">
        <f>HLOOKUP($F$14,$M$1:$S$23,20)</f>
        <v>No</v>
      </c>
      <c r="K32" s="20">
        <v>100</v>
      </c>
      <c r="L32" s="79">
        <v>100</v>
      </c>
      <c r="M32" s="79"/>
      <c r="N32" s="20"/>
    </row>
    <row r="33" spans="4:13" x14ac:dyDescent="0.3">
      <c r="D33" s="82" t="s">
        <v>361</v>
      </c>
      <c r="F33" s="108">
        <f>HLOOKUP($F$14,$M$1:$S$23,21)</f>
        <v>25</v>
      </c>
    </row>
    <row r="34" spans="4:13" x14ac:dyDescent="0.3">
      <c r="D34" s="79" t="s">
        <v>420</v>
      </c>
      <c r="F34" s="108" t="str">
        <f>HLOOKUP($F$14,$M$1:$S$23,22)</f>
        <v>25, 50, and 100</v>
      </c>
    </row>
    <row r="35" spans="4:13" x14ac:dyDescent="0.3">
      <c r="D35" s="79" t="s">
        <v>425</v>
      </c>
      <c r="E35" s="134"/>
      <c r="F35" s="134">
        <f>MIN(F30,F33)</f>
        <v>25</v>
      </c>
      <c r="L35" s="129" t="s">
        <v>415</v>
      </c>
      <c r="M35" s="129"/>
    </row>
    <row r="36" spans="4:13" x14ac:dyDescent="0.3">
      <c r="D36" s="79" t="s">
        <v>421</v>
      </c>
      <c r="E36" s="134"/>
      <c r="F36" s="129" t="str">
        <f>VLOOKUP(F35,$K$27:$L$32,2)</f>
        <v>25, 50, and 100</v>
      </c>
      <c r="L36" s="129" t="s">
        <v>175</v>
      </c>
      <c r="M36" s="129"/>
    </row>
    <row r="37" spans="4:13" x14ac:dyDescent="0.3">
      <c r="D37" s="82" t="s">
        <v>411</v>
      </c>
      <c r="F37" s="108" t="str">
        <f>HLOOKUP($F$14,$M$1:$S$23,23)</f>
        <v>Drainage Rights</v>
      </c>
      <c r="L37" s="129" t="s">
        <v>137</v>
      </c>
      <c r="M37" s="129"/>
    </row>
    <row r="38" spans="4:13" x14ac:dyDescent="0.3">
      <c r="D38" s="82" t="s">
        <v>459</v>
      </c>
      <c r="F38" s="108" t="str">
        <f>HLOOKUP($F$14,$M$1:$S$24,24)</f>
        <v>Baldwin County</v>
      </c>
    </row>
    <row r="39" spans="4:13" x14ac:dyDescent="0.3">
      <c r="H39" s="88" t="s">
        <v>258</v>
      </c>
    </row>
    <row r="40" spans="4:13" ht="64.95" customHeight="1" x14ac:dyDescent="0.3">
      <c r="D40" s="20"/>
      <c r="E40" s="153" t="s">
        <v>452</v>
      </c>
      <c r="F40" s="20"/>
    </row>
    <row r="41" spans="4:13" ht="64.95" customHeight="1" x14ac:dyDescent="0.3">
      <c r="E41" s="79" t="s">
        <v>149</v>
      </c>
    </row>
    <row r="42" spans="4:13" ht="64.95" customHeight="1" x14ac:dyDescent="0.3">
      <c r="E42" s="79" t="s">
        <v>223</v>
      </c>
    </row>
    <row r="43" spans="4:13" ht="64.95" customHeight="1" x14ac:dyDescent="0.3">
      <c r="E43" s="79" t="s">
        <v>520</v>
      </c>
      <c r="F43" s="59" t="e" vm="1">
        <v>#VALUE!</v>
      </c>
    </row>
    <row r="44" spans="4:13" ht="64.95" customHeight="1" x14ac:dyDescent="0.3">
      <c r="E44" s="79" t="s">
        <v>151</v>
      </c>
    </row>
    <row r="45" spans="4:13" ht="64.95" customHeight="1" x14ac:dyDescent="0.3">
      <c r="E45" s="79" t="s">
        <v>148</v>
      </c>
    </row>
    <row r="46" spans="4:13" ht="64.95" customHeight="1" x14ac:dyDescent="0.3">
      <c r="E46" s="79" t="s">
        <v>150</v>
      </c>
    </row>
    <row r="47" spans="4:13" ht="60" customHeight="1" x14ac:dyDescent="0.3"/>
  </sheetData>
  <sheetProtection algorithmName="SHA-512" hashValue="tXkXhbYvuhvYJNWI3JVdPrKw1H3fTHixjzCWC/GkFHLNn4HQLDcPN5lg9pZfIzLMSa/OjAZepl3TVNtoR5+7fQ==" saltValue="4GHD/5NTmgANsr9QByGKkA==" spinCount="100000" sheet="1" objects="1" scenarios="1"/>
  <mergeCells count="1">
    <mergeCell ref="A1:B1"/>
  </mergeCells>
  <dataValidations count="4">
    <dataValidation type="list" allowBlank="1" showInputMessage="1" showErrorMessage="1" sqref="F14" xr:uid="{58E92772-55BE-4B52-9E17-5AC0792DBE69}">
      <formula1>$M$1:$S$1</formula1>
    </dataValidation>
    <dataValidation type="list" allowBlank="1" showInputMessage="1" showErrorMessage="1" sqref="Q20:S20 M20:O20 M17:O17 Q17:S17" xr:uid="{3FCB7BE3-7E01-42FB-BD93-3A84946A90A3}">
      <formula1>$L$36:$L$37</formula1>
    </dataValidation>
    <dataValidation type="list" allowBlank="1" showInputMessage="1" showErrorMessage="1" sqref="M21:S21 M18:S18" xr:uid="{CFC242ED-38A7-4230-BCFF-2AC3B33114D8}">
      <formula1>$K$27:$K$32</formula1>
    </dataValidation>
    <dataValidation type="list" allowBlank="1" showInputMessage="1" showErrorMessage="1" sqref="P20 P17" xr:uid="{40DB0D84-4E2F-491B-9FF2-8663D04774CF}">
      <formula1>$L$35:$L$36</formula1>
    </dataValidation>
  </dataValidations>
  <pageMargins left="0.7" right="0.7" top="0.75" bottom="0.75" header="0.3" footer="0.3"/>
  <pageSetup orientation="portrait" horizontalDpi="1200" verticalDpi="1200" r:id="rId1"/>
  <drawing r:id="rId2"/>
  <legacyDrawing r:id="rId3"/>
  <tableParts count="9">
    <tablePart r:id="rId4"/>
    <tablePart r:id="rId5"/>
    <tablePart r:id="rId6"/>
    <tablePart r:id="rId7"/>
    <tablePart r:id="rId8"/>
    <tablePart r:id="rId9"/>
    <tablePart r:id="rId10"/>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45DDE-A060-454D-A732-9341AEEC9B54}">
  <sheetPr codeName="Sheet7">
    <tabColor theme="2" tint="-0.499984740745262"/>
    <pageSetUpPr fitToPage="1"/>
  </sheetPr>
  <dimension ref="A1:U110"/>
  <sheetViews>
    <sheetView showGridLines="0" showRowColHeaders="0" tabSelected="1" topLeftCell="B1" zoomScale="130" zoomScaleNormal="130" workbookViewId="0">
      <pane ySplit="3" topLeftCell="A5" activePane="bottomLeft" state="frozen"/>
      <selection pane="bottomLeft" activeCell="F2" sqref="F2"/>
    </sheetView>
  </sheetViews>
  <sheetFormatPr defaultColWidth="0" defaultRowHeight="0" customHeight="1" zeroHeight="1" x14ac:dyDescent="0.3"/>
  <cols>
    <col min="1" max="1" width="8.88671875" style="150" hidden="1" customWidth="1"/>
    <col min="2" max="2" width="2.77734375" style="69" customWidth="1"/>
    <col min="3" max="3" width="5.77734375" style="68" customWidth="1"/>
    <col min="4" max="4" width="24.77734375" style="68" customWidth="1"/>
    <col min="5" max="5" width="8.88671875" style="69" customWidth="1"/>
    <col min="6" max="6" width="20.77734375" style="69" customWidth="1"/>
    <col min="7" max="14" width="8.88671875" style="69" customWidth="1"/>
    <col min="15" max="15" width="10.77734375" style="69" customWidth="1"/>
    <col min="16" max="16" width="10.77734375" customWidth="1"/>
    <col min="17" max="21" width="8.88671875" style="69" customWidth="1"/>
    <col min="22" max="16384" width="8.88671875" style="69" hidden="1"/>
  </cols>
  <sheetData>
    <row r="1" spans="1:18" ht="19.95" customHeight="1" x14ac:dyDescent="0.3">
      <c r="C1" s="70" t="s">
        <v>485</v>
      </c>
      <c r="D1" s="70"/>
      <c r="N1" s="149" t="s">
        <v>453</v>
      </c>
      <c r="O1" s="165">
        <f>Tables!F13</f>
        <v>46266</v>
      </c>
      <c r="P1" s="165"/>
    </row>
    <row r="2" spans="1:18" ht="19.95" customHeight="1" x14ac:dyDescent="0.3">
      <c r="A2" s="151">
        <f>IF(OR(F2="I ACCEPT",F2="I DO NOT ACCEPT"),1,2)</f>
        <v>2</v>
      </c>
      <c r="E2" s="149" t="s">
        <v>454</v>
      </c>
      <c r="F2" s="154" t="s">
        <v>449</v>
      </c>
      <c r="N2" s="149" t="s">
        <v>455</v>
      </c>
      <c r="O2" s="165">
        <f>Tables!B6</f>
        <v>46661</v>
      </c>
      <c r="P2" s="165"/>
    </row>
    <row r="3" spans="1:18" ht="19.95" customHeight="1" x14ac:dyDescent="0.3">
      <c r="A3" s="151">
        <f ca="1">IF(F3="Workbook is Locked and Unavailable",2,1)</f>
        <v>2</v>
      </c>
      <c r="E3" s="149" t="s">
        <v>457</v>
      </c>
      <c r="F3" s="166" t="str">
        <f ca="1">IF(Tables!$B$8,"Workbook is Active","Workbook is Locked and Unavailable")</f>
        <v>Workbook is Locked and Unavailable</v>
      </c>
      <c r="G3" s="166"/>
      <c r="H3" s="166"/>
    </row>
    <row r="4" spans="1:18" ht="19.95" hidden="1" customHeight="1" x14ac:dyDescent="0.3">
      <c r="B4" s="150"/>
      <c r="C4" s="152"/>
      <c r="D4" s="152"/>
      <c r="E4" s="159" t="s">
        <v>458</v>
      </c>
      <c r="F4" s="89"/>
      <c r="G4" s="150"/>
      <c r="H4" s="150"/>
      <c r="I4" s="150"/>
      <c r="J4" s="150"/>
      <c r="K4" s="150"/>
      <c r="L4" s="150"/>
      <c r="M4" s="150"/>
      <c r="N4" s="150"/>
      <c r="O4" s="150"/>
      <c r="P4" s="150"/>
      <c r="Q4" s="150"/>
      <c r="R4" s="150"/>
    </row>
    <row r="5" spans="1:18" ht="19.95" customHeight="1" x14ac:dyDescent="0.3">
      <c r="P5" s="69"/>
    </row>
    <row r="6" spans="1:18" ht="19.95" customHeight="1" x14ac:dyDescent="0.3">
      <c r="D6" s="155"/>
      <c r="E6" s="155" t="s">
        <v>456</v>
      </c>
      <c r="F6" s="69" t="s">
        <v>510</v>
      </c>
      <c r="P6" s="69"/>
    </row>
    <row r="7" spans="1:18" ht="19.95" customHeight="1" x14ac:dyDescent="0.3">
      <c r="D7" s="155"/>
      <c r="E7" s="156"/>
      <c r="F7" s="69" t="str">
        <f>"By clicking I ACCEPT above, you represent that you are (a) preparing a post-construction submittal for "&amp;Tables!$F$38&amp;" and/or"</f>
        <v>By clicking I ACCEPT above, you represent that you are (a) preparing a post-construction submittal for Baldwin County and/or</v>
      </c>
      <c r="P7" s="69"/>
    </row>
    <row r="8" spans="1:18" ht="19.95" customHeight="1" x14ac:dyDescent="0.3">
      <c r="D8" s="155"/>
      <c r="E8" s="156"/>
      <c r="F8" s="69" t="s">
        <v>509</v>
      </c>
      <c r="P8" s="69"/>
    </row>
    <row r="9" spans="1:18" ht="19.95" customHeight="1" x14ac:dyDescent="0.3">
      <c r="D9" s="155"/>
      <c r="E9" s="156"/>
      <c r="F9" s="69" t="s">
        <v>486</v>
      </c>
      <c r="P9" s="69"/>
    </row>
    <row r="10" spans="1:18" ht="19.95" customHeight="1" x14ac:dyDescent="0.3">
      <c r="D10" s="155"/>
      <c r="E10" s="156"/>
      <c r="P10" s="69"/>
    </row>
    <row r="11" spans="1:18" ht="19.95" customHeight="1" x14ac:dyDescent="0.3">
      <c r="D11" s="155">
        <v>1</v>
      </c>
      <c r="E11" s="5" t="s">
        <v>487</v>
      </c>
      <c r="P11" s="69"/>
    </row>
    <row r="12" spans="1:18" ht="19.95" customHeight="1" x14ac:dyDescent="0.3">
      <c r="D12" s="155"/>
      <c r="E12" s="156"/>
      <c r="F12" s="69" t="s">
        <v>465</v>
      </c>
      <c r="P12" s="69"/>
    </row>
    <row r="13" spans="1:18" ht="19.95" customHeight="1" x14ac:dyDescent="0.3">
      <c r="D13" s="155"/>
      <c r="E13" s="156"/>
      <c r="F13" s="69" t="str">
        <f>"and submit post-construction application materials to "&amp;Tables!$F$38&amp;" and for the User's internal recordkeeping for those"</f>
        <v>and submit post-construction application materials to Baldwin County and for the User's internal recordkeeping for those</v>
      </c>
      <c r="P13" s="69"/>
    </row>
    <row r="14" spans="1:18" ht="19.95" customHeight="1" x14ac:dyDescent="0.3">
      <c r="D14" s="155"/>
      <c r="E14" s="156"/>
      <c r="F14" s="69" t="s">
        <v>466</v>
      </c>
      <c r="P14" s="69"/>
    </row>
    <row r="15" spans="1:18" ht="19.95" customHeight="1" x14ac:dyDescent="0.3">
      <c r="D15" s="155"/>
      <c r="E15" s="156"/>
      <c r="F15" s="69" t="s">
        <v>488</v>
      </c>
      <c r="P15" s="69"/>
    </row>
    <row r="16" spans="1:18" ht="19.95" customHeight="1" x14ac:dyDescent="0.3">
      <c r="D16" s="155">
        <v>2</v>
      </c>
      <c r="E16" s="5" t="s">
        <v>467</v>
      </c>
      <c r="P16" s="69"/>
    </row>
    <row r="17" spans="4:16" ht="19.95" customHeight="1" x14ac:dyDescent="0.3">
      <c r="D17" s="155"/>
      <c r="E17" s="156"/>
      <c r="F17" s="69" t="s">
        <v>468</v>
      </c>
      <c r="P17" s="69"/>
    </row>
    <row r="18" spans="4:16" ht="19.95" customHeight="1" x14ac:dyDescent="0.3">
      <c r="D18" s="155"/>
      <c r="E18" s="156"/>
      <c r="F18" s="69" t="s">
        <v>469</v>
      </c>
      <c r="P18" s="69"/>
    </row>
    <row r="19" spans="4:16" ht="19.95" customHeight="1" x14ac:dyDescent="0.3">
      <c r="D19" s="155">
        <v>3</v>
      </c>
      <c r="E19" s="156" t="s">
        <v>470</v>
      </c>
      <c r="P19" s="69"/>
    </row>
    <row r="20" spans="4:16" ht="19.95" customHeight="1" x14ac:dyDescent="0.3">
      <c r="D20" s="155"/>
      <c r="E20" s="156"/>
      <c r="F20" s="69" t="s">
        <v>479</v>
      </c>
      <c r="P20" s="69"/>
    </row>
    <row r="21" spans="4:16" ht="19.95" customHeight="1" x14ac:dyDescent="0.3">
      <c r="D21" s="155"/>
      <c r="E21" s="156"/>
      <c r="F21" s="69" t="s">
        <v>489</v>
      </c>
      <c r="P21" s="69"/>
    </row>
    <row r="22" spans="4:16" ht="19.95" customHeight="1" x14ac:dyDescent="0.3">
      <c r="D22" s="155"/>
      <c r="E22" s="156"/>
      <c r="F22" s="69" t="str">
        <f>"forms to the "&amp;Tables!$F$23&amp;" as intended.  The "&amp;Tables!$F$23&amp;" may host and distribute the unmodified Tool to prospective submitters for"</f>
        <v>forms to the County as intended.  The County may host and distribute the unmodified Tool to prospective submitters for</v>
      </c>
      <c r="P22" s="69"/>
    </row>
    <row r="23" spans="4:16" ht="19.95" customHeight="1" x14ac:dyDescent="0.3">
      <c r="D23" s="155"/>
      <c r="E23" s="156"/>
      <c r="F23" s="69" t="s">
        <v>490</v>
      </c>
      <c r="P23" s="69"/>
    </row>
    <row r="24" spans="4:16" ht="19.95" customHeight="1" x14ac:dyDescent="0.3">
      <c r="D24" s="155">
        <v>4</v>
      </c>
      <c r="E24" s="156" t="s">
        <v>471</v>
      </c>
      <c r="P24" s="69"/>
    </row>
    <row r="25" spans="4:16" ht="19.95" customHeight="1" x14ac:dyDescent="0.3">
      <c r="D25" s="155"/>
      <c r="E25" s="156"/>
      <c r="F25" s="69" t="s">
        <v>480</v>
      </c>
      <c r="P25" s="69"/>
    </row>
    <row r="26" spans="4:16" ht="19.95" customHeight="1" x14ac:dyDescent="0.3">
      <c r="D26" s="155"/>
      <c r="E26" s="156"/>
      <c r="F26" s="69" t="s">
        <v>491</v>
      </c>
      <c r="P26" s="69"/>
    </row>
    <row r="27" spans="4:16" ht="19.95" customHeight="1" x14ac:dyDescent="0.3">
      <c r="D27" s="155"/>
      <c r="E27" s="156"/>
      <c r="F27" s="69" t="s">
        <v>492</v>
      </c>
      <c r="P27" s="69"/>
    </row>
    <row r="28" spans="4:16" ht="19.95" customHeight="1" x14ac:dyDescent="0.3">
      <c r="D28" s="155">
        <v>5</v>
      </c>
      <c r="E28" s="156" t="s">
        <v>472</v>
      </c>
      <c r="P28" s="69"/>
    </row>
    <row r="29" spans="4:16" ht="19.95" customHeight="1" x14ac:dyDescent="0.3">
      <c r="D29" s="155"/>
      <c r="E29" s="156"/>
      <c r="F29" s="69" t="str">
        <f>"Outputs and application materials generated with the Tool may be public records of "&amp;Tables!$F$38&amp;"; the Tool itself"</f>
        <v>Outputs and application materials generated with the Tool may be public records of Baldwin County; the Tool itself</v>
      </c>
      <c r="P29" s="69"/>
    </row>
    <row r="30" spans="4:16" ht="19.95" customHeight="1" x14ac:dyDescent="0.3">
      <c r="D30" s="155"/>
      <c r="E30" s="156"/>
      <c r="F30" s="69" t="s">
        <v>493</v>
      </c>
      <c r="P30" s="69"/>
    </row>
    <row r="31" spans="4:16" ht="19.95" customHeight="1" x14ac:dyDescent="0.3">
      <c r="D31" s="155">
        <v>6</v>
      </c>
      <c r="E31" s="156" t="s">
        <v>494</v>
      </c>
      <c r="P31" s="69"/>
    </row>
    <row r="32" spans="4:16" ht="19.95" customHeight="1" x14ac:dyDescent="0.3">
      <c r="D32" s="155"/>
      <c r="E32" s="156"/>
      <c r="F32" s="69" t="str">
        <f>"The Tool is a convenience aid and does not constitute engineering, legal or compliance advice. The "&amp;Tables!$F$38&amp;"'s standards and"</f>
        <v>The Tool is a convenience aid and does not constitute engineering, legal or compliance advice. The Baldwin County's standards and</v>
      </c>
      <c r="P32" s="69"/>
    </row>
    <row r="33" spans="4:16" ht="19.95" customHeight="1" x14ac:dyDescent="0.3">
      <c r="D33" s="155"/>
      <c r="E33" s="156"/>
      <c r="F33" s="69" t="s">
        <v>495</v>
      </c>
      <c r="P33" s="69"/>
    </row>
    <row r="34" spans="4:16" ht="19.95" customHeight="1" x14ac:dyDescent="0.3">
      <c r="D34" s="155">
        <v>7</v>
      </c>
      <c r="E34" s="156" t="s">
        <v>473</v>
      </c>
      <c r="P34" s="69"/>
    </row>
    <row r="35" spans="4:16" ht="19.95" customHeight="1" x14ac:dyDescent="0.3">
      <c r="D35" s="155"/>
      <c r="E35" s="156"/>
      <c r="F35" s="69" t="s">
        <v>496</v>
      </c>
      <c r="P35" s="69"/>
    </row>
    <row r="36" spans="4:16" ht="19.95" customHeight="1" x14ac:dyDescent="0.3">
      <c r="D36" s="155"/>
      <c r="E36" s="156"/>
      <c r="F36" s="69" t="s">
        <v>497</v>
      </c>
      <c r="P36" s="69"/>
    </row>
    <row r="37" spans="4:16" ht="19.95" customHeight="1" x14ac:dyDescent="0.3">
      <c r="D37" s="155"/>
      <c r="E37" s="156"/>
      <c r="F37" s="69" t="s">
        <v>481</v>
      </c>
      <c r="P37" s="69"/>
    </row>
    <row r="38" spans="4:16" ht="19.95" customHeight="1" x14ac:dyDescent="0.3">
      <c r="D38" s="155">
        <v>8</v>
      </c>
      <c r="E38" s="156" t="s">
        <v>474</v>
      </c>
      <c r="P38" s="69"/>
    </row>
    <row r="39" spans="4:16" ht="19.95" customHeight="1" x14ac:dyDescent="0.3">
      <c r="D39" s="155"/>
      <c r="E39" s="156"/>
      <c r="F39" s="69" t="s">
        <v>475</v>
      </c>
      <c r="P39" s="69"/>
    </row>
    <row r="40" spans="4:16" ht="19.95" customHeight="1" x14ac:dyDescent="0.3">
      <c r="D40" s="155"/>
      <c r="E40" s="156"/>
      <c r="F40" s="69" t="s">
        <v>476</v>
      </c>
      <c r="P40" s="69"/>
    </row>
    <row r="41" spans="4:16" ht="19.95" customHeight="1" x14ac:dyDescent="0.3">
      <c r="D41" s="155">
        <v>9</v>
      </c>
      <c r="E41" s="156" t="s">
        <v>498</v>
      </c>
      <c r="P41" s="69"/>
    </row>
    <row r="42" spans="4:16" ht="19.95" customHeight="1" x14ac:dyDescent="0.3">
      <c r="D42" s="155"/>
      <c r="E42" s="156"/>
      <c r="F42" s="69" t="s">
        <v>499</v>
      </c>
      <c r="P42" s="69"/>
    </row>
    <row r="43" spans="4:16" ht="19.95" customHeight="1" x14ac:dyDescent="0.3">
      <c r="D43" s="155">
        <v>10</v>
      </c>
      <c r="E43" s="156" t="s">
        <v>500</v>
      </c>
      <c r="P43" s="69"/>
    </row>
    <row r="44" spans="4:16" ht="19.95" customHeight="1" x14ac:dyDescent="0.3">
      <c r="D44" s="155"/>
      <c r="E44" s="156"/>
      <c r="F44" s="69" t="s">
        <v>501</v>
      </c>
      <c r="P44" s="69"/>
    </row>
    <row r="45" spans="4:16" ht="19.95" customHeight="1" x14ac:dyDescent="0.3">
      <c r="D45" s="155"/>
      <c r="E45" s="156"/>
      <c r="F45" s="69" t="s">
        <v>502</v>
      </c>
      <c r="P45" s="69"/>
    </row>
    <row r="46" spans="4:16" ht="19.95" customHeight="1" x14ac:dyDescent="0.3">
      <c r="D46" s="155">
        <v>11</v>
      </c>
      <c r="E46" s="156" t="s">
        <v>503</v>
      </c>
      <c r="P46" s="69"/>
    </row>
    <row r="47" spans="4:16" ht="19.95" customHeight="1" x14ac:dyDescent="0.3">
      <c r="D47" s="155"/>
      <c r="E47" s="156"/>
      <c r="F47" s="69" t="s">
        <v>504</v>
      </c>
      <c r="P47" s="69"/>
    </row>
    <row r="48" spans="4:16" ht="19.95" customHeight="1" x14ac:dyDescent="0.3">
      <c r="D48" s="155"/>
      <c r="E48" s="156"/>
      <c r="F48" s="69" t="s">
        <v>505</v>
      </c>
      <c r="P48" s="69"/>
    </row>
    <row r="49" spans="4:16" ht="19.95" customHeight="1" x14ac:dyDescent="0.3">
      <c r="D49" s="155"/>
      <c r="E49" s="156"/>
      <c r="F49" s="69" t="s">
        <v>506</v>
      </c>
      <c r="P49" s="69"/>
    </row>
    <row r="50" spans="4:16" ht="19.95" customHeight="1" x14ac:dyDescent="0.3">
      <c r="D50" s="155"/>
      <c r="E50" s="156"/>
      <c r="F50" s="69" t="s">
        <v>507</v>
      </c>
      <c r="P50" s="69"/>
    </row>
    <row r="51" spans="4:16" ht="19.95" customHeight="1" x14ac:dyDescent="0.3">
      <c r="D51" s="155">
        <v>12</v>
      </c>
      <c r="E51" s="156" t="s">
        <v>477</v>
      </c>
      <c r="P51" s="69"/>
    </row>
    <row r="52" spans="4:16" ht="19.95" customHeight="1" x14ac:dyDescent="0.3">
      <c r="D52" s="155"/>
      <c r="E52" s="156"/>
      <c r="F52" s="69" t="s">
        <v>508</v>
      </c>
      <c r="P52" s="69"/>
    </row>
    <row r="53" spans="4:16" ht="19.95" customHeight="1" x14ac:dyDescent="0.3">
      <c r="D53" s="155"/>
      <c r="E53" s="156"/>
      <c r="P53" s="69"/>
    </row>
    <row r="54" spans="4:16" ht="19.95" customHeight="1" x14ac:dyDescent="0.3">
      <c r="D54" s="155"/>
      <c r="E54" s="156"/>
      <c r="P54" s="69"/>
    </row>
    <row r="55" spans="4:16" ht="19.95" customHeight="1" x14ac:dyDescent="0.3">
      <c r="D55" s="155"/>
      <c r="E55" s="156"/>
      <c r="P55" s="69"/>
    </row>
    <row r="56" spans="4:16" ht="19.95" customHeight="1" x14ac:dyDescent="0.3">
      <c r="D56" s="155"/>
      <c r="E56" s="156"/>
      <c r="P56" s="69"/>
    </row>
    <row r="57" spans="4:16" ht="19.95" customHeight="1" x14ac:dyDescent="0.3">
      <c r="D57" s="155"/>
      <c r="E57" s="156"/>
      <c r="P57" s="69"/>
    </row>
    <row r="58" spans="4:16" ht="19.95" customHeight="1" x14ac:dyDescent="0.3">
      <c r="D58" s="155"/>
      <c r="E58" s="156"/>
      <c r="P58" s="69"/>
    </row>
    <row r="59" spans="4:16" ht="19.95" customHeight="1" x14ac:dyDescent="0.3">
      <c r="D59" s="155"/>
      <c r="E59" s="156"/>
      <c r="P59" s="69"/>
    </row>
    <row r="60" spans="4:16" ht="19.95" customHeight="1" x14ac:dyDescent="0.3">
      <c r="D60" s="155"/>
      <c r="E60" s="156"/>
      <c r="P60" s="69"/>
    </row>
    <row r="61" spans="4:16" ht="19.95" customHeight="1" x14ac:dyDescent="0.3">
      <c r="D61" s="155"/>
      <c r="E61" s="156"/>
      <c r="P61" s="69"/>
    </row>
    <row r="62" spans="4:16" ht="0" hidden="1" customHeight="1" x14ac:dyDescent="0.3">
      <c r="D62" s="155"/>
      <c r="E62" s="156"/>
      <c r="P62" s="69"/>
    </row>
    <row r="63" spans="4:16" ht="0" hidden="1" customHeight="1" x14ac:dyDescent="0.3">
      <c r="D63" s="155"/>
      <c r="E63" s="156"/>
      <c r="P63" s="69"/>
    </row>
    <row r="64" spans="4:16" ht="0" hidden="1" customHeight="1" x14ac:dyDescent="0.3">
      <c r="D64" s="155"/>
      <c r="E64" s="156"/>
      <c r="P64" s="69"/>
    </row>
    <row r="65" spans="4:16" ht="0" hidden="1" customHeight="1" x14ac:dyDescent="0.3">
      <c r="D65" s="155"/>
      <c r="E65" s="156"/>
      <c r="P65" s="69"/>
    </row>
    <row r="66" spans="4:16" ht="0" hidden="1" customHeight="1" x14ac:dyDescent="0.3">
      <c r="D66" s="155"/>
      <c r="E66" s="156"/>
      <c r="P66" s="69"/>
    </row>
    <row r="67" spans="4:16" ht="0" hidden="1" customHeight="1" x14ac:dyDescent="0.3">
      <c r="D67" s="155"/>
      <c r="E67" s="156"/>
      <c r="P67" s="69"/>
    </row>
    <row r="68" spans="4:16" ht="0" hidden="1" customHeight="1" x14ac:dyDescent="0.3">
      <c r="D68" s="155"/>
      <c r="E68" s="156"/>
      <c r="P68" s="69"/>
    </row>
    <row r="69" spans="4:16" ht="0" hidden="1" customHeight="1" x14ac:dyDescent="0.3">
      <c r="D69" s="155"/>
      <c r="E69" s="156"/>
      <c r="P69" s="69"/>
    </row>
    <row r="70" spans="4:16" ht="0" hidden="1" customHeight="1" x14ac:dyDescent="0.3">
      <c r="D70" s="155"/>
      <c r="E70" s="156"/>
      <c r="P70" s="69"/>
    </row>
    <row r="71" spans="4:16" ht="0" hidden="1" customHeight="1" x14ac:dyDescent="0.3">
      <c r="D71" s="155"/>
      <c r="E71" s="156"/>
      <c r="P71" s="69"/>
    </row>
    <row r="72" spans="4:16" ht="0" hidden="1" customHeight="1" x14ac:dyDescent="0.3">
      <c r="D72" s="155"/>
      <c r="E72" s="156"/>
      <c r="P72" s="69"/>
    </row>
    <row r="73" spans="4:16" ht="0" hidden="1" customHeight="1" x14ac:dyDescent="0.3">
      <c r="D73" s="155"/>
      <c r="E73" s="156"/>
      <c r="P73" s="69"/>
    </row>
    <row r="74" spans="4:16" ht="0" hidden="1" customHeight="1" x14ac:dyDescent="0.3">
      <c r="D74" s="155"/>
      <c r="E74" s="156"/>
      <c r="P74" s="69"/>
    </row>
    <row r="75" spans="4:16" ht="0" hidden="1" customHeight="1" x14ac:dyDescent="0.3">
      <c r="D75" s="155"/>
      <c r="E75" s="156"/>
      <c r="F75" s="157"/>
      <c r="P75" s="69"/>
    </row>
    <row r="76" spans="4:16" ht="0" hidden="1" customHeight="1" x14ac:dyDescent="0.3">
      <c r="D76" s="155"/>
      <c r="E76" s="156"/>
      <c r="F76" s="157"/>
      <c r="P76" s="69"/>
    </row>
    <row r="77" spans="4:16" ht="0" hidden="1" customHeight="1" x14ac:dyDescent="0.3">
      <c r="D77" s="155"/>
      <c r="E77" s="156"/>
      <c r="F77" s="158"/>
      <c r="P77" s="69"/>
    </row>
    <row r="78" spans="4:16" ht="0" hidden="1" customHeight="1" x14ac:dyDescent="0.3">
      <c r="D78" s="155"/>
      <c r="E78" s="156"/>
      <c r="P78" s="69"/>
    </row>
    <row r="79" spans="4:16" ht="0" hidden="1" customHeight="1" x14ac:dyDescent="0.3">
      <c r="D79" s="155"/>
      <c r="E79" s="156"/>
      <c r="P79" s="69"/>
    </row>
    <row r="80" spans="4:16" ht="0" hidden="1" customHeight="1" x14ac:dyDescent="0.3">
      <c r="D80" s="155"/>
      <c r="E80" s="156"/>
      <c r="P80" s="69"/>
    </row>
    <row r="81" spans="4:16" ht="0" hidden="1" customHeight="1" x14ac:dyDescent="0.3">
      <c r="D81" s="155"/>
      <c r="E81" s="156"/>
      <c r="P81" s="69"/>
    </row>
    <row r="82" spans="4:16" ht="0" hidden="1" customHeight="1" x14ac:dyDescent="0.3">
      <c r="D82" s="155"/>
      <c r="E82" s="156"/>
      <c r="P82" s="69"/>
    </row>
    <row r="83" spans="4:16" ht="0" hidden="1" customHeight="1" x14ac:dyDescent="0.3">
      <c r="D83" s="155"/>
      <c r="E83" s="156"/>
      <c r="P83" s="69"/>
    </row>
    <row r="84" spans="4:16" ht="0" hidden="1" customHeight="1" x14ac:dyDescent="0.3">
      <c r="D84" s="155"/>
      <c r="E84" s="156"/>
      <c r="P84" s="69"/>
    </row>
    <row r="85" spans="4:16" ht="0" hidden="1" customHeight="1" x14ac:dyDescent="0.3">
      <c r="D85" s="155"/>
      <c r="E85" s="156"/>
      <c r="P85" s="69"/>
    </row>
    <row r="86" spans="4:16" ht="0" hidden="1" customHeight="1" x14ac:dyDescent="0.3">
      <c r="D86" s="155"/>
      <c r="E86" s="156"/>
      <c r="P86" s="69"/>
    </row>
    <row r="87" spans="4:16" ht="0" hidden="1" customHeight="1" x14ac:dyDescent="0.3">
      <c r="D87" s="155"/>
      <c r="E87" s="156"/>
      <c r="P87" s="69"/>
    </row>
    <row r="88" spans="4:16" ht="0" hidden="1" customHeight="1" x14ac:dyDescent="0.3">
      <c r="D88" s="155"/>
      <c r="E88" s="156"/>
      <c r="P88" s="69"/>
    </row>
    <row r="89" spans="4:16" ht="0" hidden="1" customHeight="1" x14ac:dyDescent="0.3">
      <c r="D89" s="155"/>
      <c r="E89" s="156"/>
      <c r="P89" s="69"/>
    </row>
    <row r="90" spans="4:16" ht="0" hidden="1" customHeight="1" x14ac:dyDescent="0.3">
      <c r="D90" s="155"/>
      <c r="E90" s="156"/>
      <c r="P90" s="69"/>
    </row>
    <row r="91" spans="4:16" ht="0" hidden="1" customHeight="1" x14ac:dyDescent="0.3">
      <c r="D91" s="155"/>
      <c r="E91" s="156"/>
      <c r="P91" s="69"/>
    </row>
    <row r="92" spans="4:16" ht="0" hidden="1" customHeight="1" x14ac:dyDescent="0.3">
      <c r="D92" s="155"/>
      <c r="E92" s="156"/>
      <c r="P92" s="69"/>
    </row>
    <row r="93" spans="4:16" ht="0" hidden="1" customHeight="1" x14ac:dyDescent="0.3">
      <c r="D93" s="155"/>
      <c r="E93" s="156"/>
      <c r="P93" s="69"/>
    </row>
    <row r="94" spans="4:16" ht="0" hidden="1" customHeight="1" x14ac:dyDescent="0.3">
      <c r="D94" s="155"/>
      <c r="E94" s="156"/>
      <c r="P94" s="69"/>
    </row>
    <row r="95" spans="4:16" ht="0" hidden="1" customHeight="1" x14ac:dyDescent="0.3">
      <c r="D95" s="155"/>
      <c r="E95" s="156"/>
      <c r="P95" s="69"/>
    </row>
    <row r="96" spans="4:16" ht="0" hidden="1" customHeight="1" x14ac:dyDescent="0.3">
      <c r="D96" s="155"/>
      <c r="E96" s="156"/>
      <c r="P96" s="69"/>
    </row>
    <row r="97" spans="4:16" ht="0" hidden="1" customHeight="1" x14ac:dyDescent="0.3">
      <c r="D97" s="155"/>
      <c r="E97" s="156"/>
      <c r="P97" s="69"/>
    </row>
    <row r="98" spans="4:16" ht="0" hidden="1" customHeight="1" x14ac:dyDescent="0.3">
      <c r="D98" s="155"/>
      <c r="E98" s="156"/>
      <c r="P98" s="69"/>
    </row>
    <row r="99" spans="4:16" ht="0" hidden="1" customHeight="1" x14ac:dyDescent="0.3">
      <c r="D99" s="155"/>
      <c r="E99" s="156"/>
      <c r="P99" s="69"/>
    </row>
    <row r="100" spans="4:16" ht="0" hidden="1" customHeight="1" x14ac:dyDescent="0.3">
      <c r="P100" s="69"/>
    </row>
    <row r="101" spans="4:16" ht="0" hidden="1" customHeight="1" x14ac:dyDescent="0.3">
      <c r="P101" s="69"/>
    </row>
    <row r="102" spans="4:16" ht="0" hidden="1" customHeight="1" x14ac:dyDescent="0.3">
      <c r="P102" s="69"/>
    </row>
    <row r="103" spans="4:16" ht="0" hidden="1" customHeight="1" x14ac:dyDescent="0.3">
      <c r="P103" s="69"/>
    </row>
    <row r="104" spans="4:16" ht="0" hidden="1" customHeight="1" x14ac:dyDescent="0.3">
      <c r="P104" s="69"/>
    </row>
    <row r="105" spans="4:16" ht="0" hidden="1" customHeight="1" x14ac:dyDescent="0.3">
      <c r="P105" s="69"/>
    </row>
    <row r="106" spans="4:16" ht="0" hidden="1" customHeight="1" x14ac:dyDescent="0.3">
      <c r="P106" s="69"/>
    </row>
    <row r="107" spans="4:16" ht="0" hidden="1" customHeight="1" x14ac:dyDescent="0.3">
      <c r="P107" s="69"/>
    </row>
    <row r="108" spans="4:16" ht="0" hidden="1" customHeight="1" x14ac:dyDescent="0.3">
      <c r="P108" s="69"/>
    </row>
    <row r="109" spans="4:16" ht="0" hidden="1" customHeight="1" x14ac:dyDescent="0.3">
      <c r="P109" s="69"/>
    </row>
    <row r="110" spans="4:16" ht="0" hidden="1" customHeight="1" x14ac:dyDescent="0.3">
      <c r="P110" s="69"/>
    </row>
  </sheetData>
  <sheetProtection algorithmName="SHA-512" hashValue="VS2F44w6iy8+YqOBJAqz22BoqOtOaJWSSnXhIQMR+5K2t5QZ3L8A9dVkDGSptbR1Bv8sYyV5e578N9MxSITDuQ==" saltValue="BFUgHLaDaUkYzyJPG2n+Aw==" spinCount="100000" sheet="1" objects="1" scenarios="1" selectLockedCells="1"/>
  <mergeCells count="3">
    <mergeCell ref="O1:P1"/>
    <mergeCell ref="O2:P2"/>
    <mergeCell ref="F3:H3"/>
  </mergeCells>
  <conditionalFormatting sqref="F2">
    <cfRule type="expression" dxfId="314" priority="1366">
      <formula>$A$2=2</formula>
    </cfRule>
  </conditionalFormatting>
  <conditionalFormatting sqref="F3:H3">
    <cfRule type="expression" dxfId="313" priority="1367">
      <formula>$A$3=2</formula>
    </cfRule>
    <cfRule type="expression" dxfId="312" priority="1368">
      <formula>$A$3=2</formula>
    </cfRule>
  </conditionalFormatting>
  <pageMargins left="0.2" right="0.2" top="0.5" bottom="0.25" header="0.3" footer="0.3"/>
  <pageSetup scale="6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02ABC37-79B9-4CA4-8B6B-3283293639D4}">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5B3C9-EB7F-47E9-8EB8-12261128766F}">
  <sheetPr codeName="Sheet1">
    <tabColor theme="2" tint="-0.499984740745262"/>
    <pageSetUpPr fitToPage="1"/>
  </sheetPr>
  <dimension ref="B1:Q57"/>
  <sheetViews>
    <sheetView showGridLines="0" showRowColHeaders="0" zoomScale="130" zoomScaleNormal="130" workbookViewId="0"/>
  </sheetViews>
  <sheetFormatPr defaultColWidth="8.88671875" defaultRowHeight="0" customHeight="1" zeroHeight="1" x14ac:dyDescent="0.3"/>
  <cols>
    <col min="1" max="1" width="2.77734375" style="69" customWidth="1"/>
    <col min="2" max="2" width="5.77734375" style="68" customWidth="1"/>
    <col min="3" max="8" width="2.77734375" style="69" customWidth="1"/>
    <col min="9" max="10" width="8.88671875" style="69" customWidth="1"/>
    <col min="11" max="11" width="20.77734375" style="69" customWidth="1"/>
    <col min="12" max="22" width="8.88671875" style="69" customWidth="1"/>
    <col min="23" max="16384" width="8.88671875" style="69"/>
  </cols>
  <sheetData>
    <row r="1" spans="2:17" ht="19.95" customHeight="1" x14ac:dyDescent="0.3"/>
    <row r="2" spans="2:17" ht="19.95" customHeight="1" x14ac:dyDescent="0.3">
      <c r="B2" s="70" t="s">
        <v>61</v>
      </c>
    </row>
    <row r="3" spans="2:17" ht="4.95" customHeight="1" x14ac:dyDescent="0.3">
      <c r="B3" s="70"/>
    </row>
    <row r="4" spans="2:17" ht="19.95" customHeight="1" x14ac:dyDescent="0.3">
      <c r="B4" s="68">
        <v>1</v>
      </c>
      <c r="C4" s="170" t="s">
        <v>280</v>
      </c>
      <c r="D4" s="170"/>
      <c r="E4" s="170"/>
      <c r="F4" s="170"/>
      <c r="G4" s="170"/>
      <c r="H4" s="170"/>
      <c r="I4" s="170"/>
      <c r="J4" s="170"/>
      <c r="K4" s="170"/>
      <c r="L4" s="170"/>
      <c r="M4" s="170"/>
      <c r="N4" s="170"/>
      <c r="O4" s="170"/>
      <c r="P4" s="170"/>
      <c r="Q4" s="170"/>
    </row>
    <row r="5" spans="2:17" ht="19.95" customHeight="1" x14ac:dyDescent="0.3">
      <c r="C5" s="170"/>
      <c r="D5" s="170"/>
      <c r="E5" s="170"/>
      <c r="F5" s="170"/>
      <c r="G5" s="170"/>
      <c r="H5" s="170"/>
      <c r="I5" s="170"/>
      <c r="J5" s="170"/>
      <c r="K5" s="170"/>
      <c r="L5" s="170"/>
      <c r="M5" s="170"/>
      <c r="N5" s="170"/>
      <c r="O5" s="170"/>
      <c r="P5" s="170"/>
      <c r="Q5" s="170"/>
    </row>
    <row r="6" spans="2:17" ht="19.95" customHeight="1" x14ac:dyDescent="0.3">
      <c r="B6" s="68">
        <f>B4+1</f>
        <v>2</v>
      </c>
      <c r="C6" s="69" t="s">
        <v>63</v>
      </c>
    </row>
    <row r="7" spans="2:17" ht="19.95" customHeight="1" x14ac:dyDescent="0.3">
      <c r="C7" s="71"/>
      <c r="D7" s="71"/>
      <c r="E7" s="71"/>
      <c r="F7" s="71"/>
      <c r="I7" s="69" t="s">
        <v>60</v>
      </c>
    </row>
    <row r="8" spans="2:17" ht="10.050000000000001" customHeight="1" x14ac:dyDescent="0.3"/>
    <row r="9" spans="2:17" ht="15" customHeight="1" x14ac:dyDescent="0.3">
      <c r="C9" s="72"/>
      <c r="D9" s="72"/>
      <c r="E9" s="72"/>
      <c r="F9" s="72"/>
      <c r="I9" s="169" t="s">
        <v>260</v>
      </c>
      <c r="J9" s="169"/>
      <c r="K9" s="169"/>
      <c r="L9" s="169"/>
      <c r="M9" s="169"/>
      <c r="N9" s="169"/>
      <c r="O9" s="169"/>
      <c r="P9" s="169"/>
      <c r="Q9" s="169"/>
    </row>
    <row r="10" spans="2:17" ht="15" customHeight="1" x14ac:dyDescent="0.3">
      <c r="I10" s="169"/>
      <c r="J10" s="169"/>
      <c r="K10" s="169"/>
      <c r="L10" s="169"/>
      <c r="M10" s="169"/>
      <c r="N10" s="169"/>
      <c r="O10" s="169"/>
      <c r="P10" s="169"/>
      <c r="Q10" s="169"/>
    </row>
    <row r="11" spans="2:17" ht="10.050000000000001" customHeight="1" x14ac:dyDescent="0.3">
      <c r="I11" s="73"/>
      <c r="J11" s="73"/>
      <c r="K11" s="73"/>
      <c r="L11" s="73"/>
      <c r="M11" s="73"/>
      <c r="N11" s="73"/>
      <c r="O11" s="73"/>
      <c r="P11" s="73"/>
      <c r="Q11" s="73"/>
    </row>
    <row r="12" spans="2:17" ht="15" customHeight="1" x14ac:dyDescent="0.3">
      <c r="F12" s="26"/>
      <c r="I12" s="169" t="s">
        <v>286</v>
      </c>
      <c r="J12" s="169"/>
      <c r="K12" s="169"/>
      <c r="L12" s="169"/>
      <c r="M12" s="169"/>
      <c r="N12" s="169"/>
      <c r="O12" s="169"/>
      <c r="P12" s="169"/>
      <c r="Q12" s="169"/>
    </row>
    <row r="13" spans="2:17" ht="15" customHeight="1" x14ac:dyDescent="0.3">
      <c r="I13" s="169"/>
      <c r="J13" s="169"/>
      <c r="K13" s="169"/>
      <c r="L13" s="169"/>
      <c r="M13" s="169"/>
      <c r="N13" s="169"/>
      <c r="O13" s="169"/>
      <c r="P13" s="169"/>
      <c r="Q13" s="169"/>
    </row>
    <row r="14" spans="2:17" ht="15" customHeight="1" x14ac:dyDescent="0.3">
      <c r="I14" s="169"/>
      <c r="J14" s="169"/>
      <c r="K14" s="169"/>
      <c r="L14" s="169"/>
      <c r="M14" s="169"/>
      <c r="N14" s="169"/>
      <c r="O14" s="169"/>
      <c r="P14" s="169"/>
      <c r="Q14" s="169"/>
    </row>
    <row r="15" spans="2:17" ht="15" customHeight="1" x14ac:dyDescent="0.3">
      <c r="I15" s="169"/>
      <c r="J15" s="169"/>
      <c r="K15" s="169"/>
      <c r="L15" s="169"/>
      <c r="M15" s="169"/>
      <c r="N15" s="169"/>
      <c r="O15" s="169"/>
      <c r="P15" s="169"/>
      <c r="Q15" s="169"/>
    </row>
    <row r="16" spans="2:17" ht="10.050000000000001" customHeight="1" x14ac:dyDescent="0.3">
      <c r="I16" s="74"/>
      <c r="J16" s="74"/>
      <c r="K16" s="74"/>
      <c r="L16" s="74"/>
      <c r="M16" s="74"/>
      <c r="N16" s="74"/>
      <c r="O16" s="74"/>
      <c r="P16" s="74"/>
      <c r="Q16" s="74"/>
    </row>
    <row r="17" spans="3:17" ht="15" customHeight="1" x14ac:dyDescent="0.3">
      <c r="C17" s="26"/>
      <c r="D17" s="21" t="s">
        <v>117</v>
      </c>
      <c r="E17" s="21"/>
      <c r="F17" s="26"/>
      <c r="G17" s="21" t="s">
        <v>118</v>
      </c>
      <c r="I17" s="169" t="s">
        <v>210</v>
      </c>
      <c r="J17" s="169"/>
      <c r="K17" s="169"/>
      <c r="L17" s="169"/>
      <c r="M17" s="169"/>
      <c r="N17" s="169"/>
      <c r="O17" s="169"/>
      <c r="P17" s="169"/>
      <c r="Q17" s="169"/>
    </row>
    <row r="18" spans="3:17" ht="15" customHeight="1" x14ac:dyDescent="0.3">
      <c r="I18" s="169"/>
      <c r="J18" s="169"/>
      <c r="K18" s="169"/>
      <c r="L18" s="169"/>
      <c r="M18" s="169"/>
      <c r="N18" s="169"/>
      <c r="O18" s="169"/>
      <c r="P18" s="169"/>
      <c r="Q18" s="169"/>
    </row>
    <row r="19" spans="3:17" ht="10.050000000000001" customHeight="1" x14ac:dyDescent="0.3"/>
    <row r="20" spans="3:17" ht="15" customHeight="1" x14ac:dyDescent="0.3">
      <c r="C20" s="75"/>
      <c r="D20" s="75"/>
      <c r="E20" s="75"/>
      <c r="F20" s="75"/>
      <c r="I20" s="169" t="s">
        <v>62</v>
      </c>
      <c r="J20" s="169"/>
      <c r="K20" s="169"/>
      <c r="L20" s="169"/>
      <c r="M20" s="169"/>
      <c r="N20" s="169"/>
      <c r="O20" s="169"/>
      <c r="P20" s="169"/>
      <c r="Q20" s="169"/>
    </row>
    <row r="21" spans="3:17" ht="15" customHeight="1" x14ac:dyDescent="0.3">
      <c r="I21" s="169"/>
      <c r="J21" s="169"/>
      <c r="K21" s="169"/>
      <c r="L21" s="169"/>
      <c r="M21" s="169"/>
      <c r="N21" s="169"/>
      <c r="O21" s="169"/>
      <c r="P21" s="169"/>
      <c r="Q21" s="169"/>
    </row>
    <row r="22" spans="3:17" ht="15" customHeight="1" x14ac:dyDescent="0.3">
      <c r="I22" s="169"/>
      <c r="J22" s="169"/>
      <c r="K22" s="169"/>
      <c r="L22" s="169"/>
      <c r="M22" s="169"/>
      <c r="N22" s="169"/>
      <c r="O22" s="169"/>
      <c r="P22" s="169"/>
      <c r="Q22" s="169"/>
    </row>
    <row r="23" spans="3:17" ht="19.95" customHeight="1" x14ac:dyDescent="0.3">
      <c r="I23" s="169"/>
      <c r="J23" s="169"/>
      <c r="K23" s="169"/>
      <c r="L23" s="169"/>
      <c r="M23" s="169"/>
      <c r="N23" s="169"/>
      <c r="O23" s="169"/>
      <c r="P23" s="169"/>
      <c r="Q23" s="169"/>
    </row>
    <row r="24" spans="3:17" ht="10.050000000000001" customHeight="1" x14ac:dyDescent="0.3">
      <c r="I24" s="74"/>
      <c r="J24" s="74"/>
      <c r="K24" s="74"/>
      <c r="L24" s="74"/>
      <c r="M24" s="74"/>
      <c r="N24" s="74"/>
      <c r="O24" s="74"/>
      <c r="P24" s="74"/>
      <c r="Q24" s="74"/>
    </row>
    <row r="25" spans="3:17" ht="15" customHeight="1" x14ac:dyDescent="0.3">
      <c r="C25" s="76"/>
      <c r="D25" s="76"/>
      <c r="E25" s="76"/>
      <c r="F25" s="76"/>
      <c r="I25" s="169" t="s">
        <v>109</v>
      </c>
      <c r="J25" s="169"/>
      <c r="K25" s="169"/>
      <c r="L25" s="169"/>
      <c r="M25" s="169"/>
      <c r="N25" s="169"/>
      <c r="O25" s="169"/>
      <c r="P25" s="169"/>
      <c r="Q25" s="169"/>
    </row>
    <row r="26" spans="3:17" ht="15" customHeight="1" x14ac:dyDescent="0.3">
      <c r="I26" s="169"/>
      <c r="J26" s="169"/>
      <c r="K26" s="169"/>
      <c r="L26" s="169"/>
      <c r="M26" s="169"/>
      <c r="N26" s="169"/>
      <c r="O26" s="169"/>
      <c r="P26" s="169"/>
      <c r="Q26" s="169"/>
    </row>
    <row r="27" spans="3:17" ht="10.050000000000001" customHeight="1" x14ac:dyDescent="0.3"/>
    <row r="28" spans="3:17" ht="19.95" customHeight="1" x14ac:dyDescent="0.3">
      <c r="C28" s="77" t="s">
        <v>29</v>
      </c>
      <c r="D28" s="77"/>
      <c r="E28" s="77"/>
      <c r="F28" s="77"/>
      <c r="I28" s="69" t="s">
        <v>281</v>
      </c>
    </row>
    <row r="29" spans="3:17" ht="10.050000000000001" customHeight="1" x14ac:dyDescent="0.3"/>
    <row r="30" spans="3:17" ht="19.95" customHeight="1" x14ac:dyDescent="0.3">
      <c r="C30" s="5" t="s">
        <v>31</v>
      </c>
      <c r="D30" s="5"/>
      <c r="E30" s="5"/>
      <c r="F30" s="5"/>
      <c r="I30" s="69" t="s">
        <v>65</v>
      </c>
    </row>
    <row r="31" spans="3:17" ht="10.050000000000001" customHeight="1" x14ac:dyDescent="0.3"/>
    <row r="32" spans="3:17" ht="19.95" customHeight="1" x14ac:dyDescent="0.3">
      <c r="C32" s="5" t="s">
        <v>21</v>
      </c>
      <c r="D32" s="5"/>
      <c r="E32" s="5"/>
      <c r="F32" s="5"/>
      <c r="I32" s="69" t="s">
        <v>110</v>
      </c>
    </row>
    <row r="33" spans="2:17" ht="10.050000000000001" customHeight="1" x14ac:dyDescent="0.3"/>
    <row r="34" spans="2:17" ht="19.95" customHeight="1" x14ac:dyDescent="0.3">
      <c r="B34" s="68">
        <f>B6+1</f>
        <v>3</v>
      </c>
      <c r="C34" s="69" t="s">
        <v>213</v>
      </c>
    </row>
    <row r="35" spans="2:17" ht="19.95" customHeight="1" x14ac:dyDescent="0.3">
      <c r="B35" s="68">
        <f>B34+1</f>
        <v>4</v>
      </c>
      <c r="C35" s="169" t="s">
        <v>214</v>
      </c>
      <c r="D35" s="169"/>
      <c r="E35" s="169"/>
      <c r="F35" s="169"/>
      <c r="G35" s="169"/>
      <c r="H35" s="169"/>
      <c r="I35" s="169"/>
      <c r="J35" s="169"/>
      <c r="K35" s="169"/>
      <c r="L35" s="169"/>
      <c r="M35" s="169"/>
      <c r="N35" s="169"/>
      <c r="O35" s="169"/>
      <c r="P35" s="169"/>
      <c r="Q35" s="169"/>
    </row>
    <row r="36" spans="2:17" ht="15" customHeight="1" x14ac:dyDescent="0.3">
      <c r="C36" s="169"/>
      <c r="D36" s="169"/>
      <c r="E36" s="169"/>
      <c r="F36" s="169"/>
      <c r="G36" s="169"/>
      <c r="H36" s="169"/>
      <c r="I36" s="169"/>
      <c r="J36" s="169"/>
      <c r="K36" s="169"/>
      <c r="L36" s="169"/>
      <c r="M36" s="169"/>
      <c r="N36" s="169"/>
      <c r="O36" s="169"/>
      <c r="P36" s="169"/>
      <c r="Q36" s="169"/>
    </row>
    <row r="37" spans="2:17" ht="19.95" customHeight="1" x14ac:dyDescent="0.3">
      <c r="B37" s="68">
        <v>5</v>
      </c>
      <c r="C37" s="170" t="s">
        <v>211</v>
      </c>
      <c r="D37" s="170"/>
      <c r="E37" s="170"/>
      <c r="F37" s="170"/>
      <c r="G37" s="170"/>
      <c r="H37" s="170"/>
      <c r="I37" s="170"/>
      <c r="J37" s="170"/>
      <c r="K37" s="170"/>
      <c r="L37" s="170"/>
      <c r="M37" s="170"/>
      <c r="N37" s="170"/>
      <c r="O37" s="170"/>
      <c r="P37" s="170"/>
      <c r="Q37" s="170"/>
    </row>
    <row r="38" spans="2:17" ht="19.95" customHeight="1" x14ac:dyDescent="0.3">
      <c r="C38" s="170"/>
      <c r="D38" s="170"/>
      <c r="E38" s="170"/>
      <c r="F38" s="170"/>
      <c r="G38" s="170"/>
      <c r="H38" s="170"/>
      <c r="I38" s="170"/>
      <c r="J38" s="170"/>
      <c r="K38" s="170"/>
      <c r="L38" s="170"/>
      <c r="M38" s="170"/>
      <c r="N38" s="170"/>
      <c r="O38" s="170"/>
      <c r="P38" s="170"/>
      <c r="Q38" s="170"/>
    </row>
    <row r="39" spans="2:17" ht="12" customHeight="1" x14ac:dyDescent="0.3">
      <c r="C39" s="170"/>
      <c r="D39" s="170"/>
      <c r="E39" s="170"/>
      <c r="F39" s="170"/>
      <c r="G39" s="170"/>
      <c r="H39" s="170"/>
      <c r="I39" s="170"/>
      <c r="J39" s="170"/>
      <c r="K39" s="170"/>
      <c r="L39" s="170"/>
      <c r="M39" s="170"/>
      <c r="N39" s="170"/>
      <c r="O39" s="170"/>
      <c r="P39" s="170"/>
      <c r="Q39" s="170"/>
    </row>
    <row r="40" spans="2:17" ht="19.95" customHeight="1" x14ac:dyDescent="0.3">
      <c r="B40" s="68">
        <v>6</v>
      </c>
      <c r="C40" s="69" t="s">
        <v>244</v>
      </c>
    </row>
    <row r="41" spans="2:17" ht="19.95" customHeight="1" x14ac:dyDescent="0.3"/>
    <row r="42" spans="2:17" ht="19.95" customHeight="1" x14ac:dyDescent="0.3"/>
    <row r="43" spans="2:17" ht="19.95" customHeight="1" x14ac:dyDescent="0.3"/>
    <row r="44" spans="2:17" ht="19.95" customHeight="1" x14ac:dyDescent="0.3"/>
    <row r="45" spans="2:17" ht="19.95" customHeight="1" x14ac:dyDescent="0.3"/>
    <row r="46" spans="2:17" ht="19.95" customHeight="1" x14ac:dyDescent="0.3"/>
    <row r="47" spans="2:17" ht="19.95" customHeight="1" x14ac:dyDescent="0.3"/>
    <row r="48" spans="2:17" ht="19.95" customHeight="1" x14ac:dyDescent="0.3"/>
    <row r="49" ht="19.95" customHeight="1" x14ac:dyDescent="0.3"/>
    <row r="50" ht="19.95" customHeight="1" x14ac:dyDescent="0.3"/>
    <row r="51" ht="19.95" customHeight="1" x14ac:dyDescent="0.3"/>
    <row r="52" ht="19.95" customHeight="1" x14ac:dyDescent="0.3"/>
    <row r="53" ht="19.95" customHeight="1" x14ac:dyDescent="0.3"/>
    <row r="54" ht="19.95" customHeight="1" x14ac:dyDescent="0.3"/>
    <row r="55" ht="19.95" customHeight="1" x14ac:dyDescent="0.3"/>
    <row r="56" ht="19.95" customHeight="1" x14ac:dyDescent="0.3"/>
    <row r="57" ht="19.95" customHeight="1" x14ac:dyDescent="0.3"/>
  </sheetData>
  <sheetProtection algorithmName="SHA-512" hashValue="qU2Nw3Qad6VreVbBJWkx8vuEfSwrNRl1l58pofNZdwr4p/d4agmfej+lZbnaIWLKtayBJWj1lFFWaHuQ0ov+yg==" saltValue="xOfImNKAX6nFsJGalhG0oQ=="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311" priority="5">
      <formula>ISBLANK(C17)</formula>
    </cfRule>
  </conditionalFormatting>
  <conditionalFormatting sqref="C9:F9">
    <cfRule type="expression" dxfId="310" priority="7">
      <formula>ISBLANK(C9)</formula>
    </cfRule>
  </conditionalFormatting>
  <conditionalFormatting sqref="F12">
    <cfRule type="expression" dxfId="309" priority="6">
      <formula>ISBLANK(F12)</formula>
    </cfRule>
  </conditionalFormatting>
  <conditionalFormatting sqref="F17">
    <cfRule type="expression" dxfId="308" priority="4">
      <formula>ISBLANK(F17)</formula>
    </cfRule>
  </conditionalFormatting>
  <pageMargins left="0.2" right="0.2" top="0.5" bottom="0.25" header="0.3" footer="0.3"/>
  <pageSetup scale="88"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A1:CU209"/>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21" customWidth="1"/>
    <col min="2" max="36" width="2.77734375" style="21" customWidth="1"/>
    <col min="37" max="37" width="1.77734375" style="21" customWidth="1"/>
    <col min="38" max="38" width="10.33203125" style="14" hidden="1" customWidth="1"/>
    <col min="39" max="39" width="11" style="14" hidden="1" customWidth="1"/>
    <col min="40" max="40" width="10.109375" style="14" hidden="1" customWidth="1"/>
    <col min="41" max="41" width="9.21875" style="14" hidden="1" customWidth="1"/>
    <col min="42" max="42" width="12.44140625" style="14" hidden="1" customWidth="1"/>
    <col min="43" max="43" width="8.77734375" style="14" hidden="1" customWidth="1"/>
    <col min="44" max="45" width="20" style="14" hidden="1" customWidth="1"/>
    <col min="46" max="46" width="8.77734375" style="14" hidden="1" customWidth="1"/>
    <col min="47" max="47" width="2.77734375" style="21" customWidth="1"/>
    <col min="48" max="48" width="3.77734375" style="21" customWidth="1"/>
    <col min="49" max="88" width="2.77734375" style="21" customWidth="1"/>
    <col min="89" max="99" width="0" style="21" hidden="1" customWidth="1"/>
    <col min="100" max="16384" width="8.88671875" style="21" hidden="1"/>
  </cols>
  <sheetData>
    <row r="1" spans="2:99" ht="15" customHeight="1" x14ac:dyDescent="0.3">
      <c r="O1" s="3"/>
      <c r="P1" s="3"/>
      <c r="Q1" s="3"/>
      <c r="S1" s="17"/>
      <c r="T1" s="17"/>
      <c r="U1" s="17"/>
      <c r="V1" s="172" t="s">
        <v>326</v>
      </c>
      <c r="W1" s="172"/>
      <c r="X1" s="172"/>
      <c r="Y1" s="172"/>
      <c r="Z1" s="172"/>
      <c r="AA1" s="172"/>
      <c r="AB1" s="172"/>
      <c r="AC1" s="172"/>
      <c r="AD1" s="172"/>
      <c r="AE1" s="172"/>
      <c r="AF1" s="172"/>
      <c r="AG1" s="172"/>
      <c r="AH1" s="172"/>
      <c r="AI1" s="172"/>
      <c r="AJ1" s="172"/>
      <c r="AK1" s="172"/>
      <c r="AL1" s="57"/>
      <c r="AM1" s="57"/>
      <c r="AN1" s="57"/>
      <c r="AO1" s="57"/>
      <c r="AP1" s="57"/>
      <c r="AQ1" s="57"/>
      <c r="AR1" s="57"/>
      <c r="AS1" s="57"/>
      <c r="AT1" s="57"/>
      <c r="BG1" s="58"/>
      <c r="BH1" s="58"/>
      <c r="BJ1" s="17"/>
      <c r="BK1" s="17"/>
      <c r="BL1" s="17"/>
      <c r="BM1" s="17"/>
      <c r="BN1" s="172" t="str">
        <f>V1</f>
        <v>Form 2B.1 - Retention Pond
Design Form</v>
      </c>
      <c r="BO1" s="172"/>
      <c r="BP1" s="172"/>
      <c r="BQ1" s="172"/>
      <c r="BR1" s="172"/>
      <c r="BS1" s="172"/>
      <c r="BT1" s="172"/>
      <c r="BU1" s="172"/>
      <c r="BV1" s="172"/>
      <c r="BW1" s="172"/>
      <c r="BX1" s="172"/>
      <c r="BY1" s="172"/>
      <c r="BZ1" s="172"/>
      <c r="CA1" s="172"/>
      <c r="CB1" s="172"/>
      <c r="CC1" s="17"/>
      <c r="CD1" s="18"/>
      <c r="CE1" s="18"/>
      <c r="CF1" s="18"/>
      <c r="CG1" s="18"/>
      <c r="CH1" s="18"/>
      <c r="CI1" s="18"/>
      <c r="CP1" s="58"/>
      <c r="CQ1" s="58"/>
      <c r="CR1" s="58"/>
      <c r="CS1" s="58"/>
      <c r="CT1" s="58"/>
      <c r="CU1" s="58"/>
    </row>
    <row r="2" spans="2:99" ht="15" customHeight="1" x14ac:dyDescent="0.3">
      <c r="J2" s="3"/>
      <c r="K2" s="3"/>
      <c r="L2" s="3"/>
      <c r="M2" s="3"/>
      <c r="N2" s="3"/>
      <c r="O2" s="3"/>
      <c r="P2" s="3"/>
      <c r="Q2" s="3"/>
      <c r="R2" s="17"/>
      <c r="S2" s="17"/>
      <c r="T2" s="17"/>
      <c r="U2" s="17"/>
      <c r="V2" s="172"/>
      <c r="W2" s="172"/>
      <c r="X2" s="172"/>
      <c r="Y2" s="172"/>
      <c r="Z2" s="172"/>
      <c r="AA2" s="172"/>
      <c r="AB2" s="172"/>
      <c r="AC2" s="172"/>
      <c r="AD2" s="172"/>
      <c r="AE2" s="172"/>
      <c r="AF2" s="172"/>
      <c r="AG2" s="172"/>
      <c r="AH2" s="172"/>
      <c r="AI2" s="172"/>
      <c r="AJ2" s="172"/>
      <c r="AK2" s="172"/>
      <c r="AL2" s="57"/>
      <c r="AM2" s="57"/>
      <c r="AN2" s="57"/>
      <c r="AO2" s="57"/>
      <c r="AP2" s="57"/>
      <c r="AQ2" s="57"/>
      <c r="AR2" s="57"/>
      <c r="AS2" s="57"/>
      <c r="AT2" s="57"/>
      <c r="BF2" s="58"/>
      <c r="BG2" s="58"/>
      <c r="BH2" s="58"/>
      <c r="BI2" s="17"/>
      <c r="BJ2" s="17"/>
      <c r="BK2" s="17"/>
      <c r="BL2" s="17"/>
      <c r="BM2" s="17"/>
      <c r="BN2" s="172"/>
      <c r="BO2" s="172"/>
      <c r="BP2" s="172"/>
      <c r="BQ2" s="172"/>
      <c r="BR2" s="172"/>
      <c r="BS2" s="172"/>
      <c r="BT2" s="172"/>
      <c r="BU2" s="172"/>
      <c r="BV2" s="172"/>
      <c r="BW2" s="172"/>
      <c r="BX2" s="172"/>
      <c r="BY2" s="172"/>
      <c r="BZ2" s="172"/>
      <c r="CA2" s="172"/>
      <c r="CB2" s="172"/>
      <c r="CC2" s="17"/>
      <c r="CD2" s="18"/>
      <c r="CE2" s="18"/>
      <c r="CF2" s="18"/>
      <c r="CG2" s="18"/>
      <c r="CH2" s="18"/>
      <c r="CI2" s="18"/>
      <c r="CP2" s="58"/>
      <c r="CQ2" s="58"/>
      <c r="CR2" s="58"/>
      <c r="CS2" s="58"/>
      <c r="CT2" s="58"/>
      <c r="CU2" s="58"/>
    </row>
    <row r="3" spans="2:99" ht="15" customHeight="1" x14ac:dyDescent="0.3">
      <c r="J3" s="3"/>
      <c r="K3" s="3"/>
      <c r="L3" s="3"/>
      <c r="U3" s="17"/>
      <c r="V3" s="172"/>
      <c r="W3" s="172"/>
      <c r="X3" s="172"/>
      <c r="Y3" s="172"/>
      <c r="Z3" s="172"/>
      <c r="AA3" s="172"/>
      <c r="AB3" s="172"/>
      <c r="AC3" s="172"/>
      <c r="AD3" s="172"/>
      <c r="AE3" s="172"/>
      <c r="AF3" s="172"/>
      <c r="AG3" s="172"/>
      <c r="AH3" s="172"/>
      <c r="AI3" s="172"/>
      <c r="AJ3" s="172"/>
      <c r="AK3" s="172"/>
      <c r="AL3" s="57"/>
      <c r="AM3" s="57"/>
      <c r="AN3" s="57"/>
      <c r="AO3" s="57"/>
      <c r="AP3" s="57"/>
      <c r="AQ3" s="57"/>
      <c r="AR3" s="57"/>
      <c r="AS3" s="57"/>
      <c r="AT3" s="57"/>
      <c r="BF3" s="58"/>
      <c r="BG3" s="58"/>
      <c r="BH3" s="58"/>
      <c r="BI3" s="17"/>
      <c r="BJ3" s="17"/>
      <c r="BK3" s="17"/>
      <c r="BL3" s="17"/>
      <c r="BM3" s="17"/>
      <c r="BN3" s="172"/>
      <c r="BO3" s="172"/>
      <c r="BP3" s="172"/>
      <c r="BQ3" s="172"/>
      <c r="BR3" s="172"/>
      <c r="BS3" s="172"/>
      <c r="BT3" s="172"/>
      <c r="BU3" s="172"/>
      <c r="BV3" s="172"/>
      <c r="BW3" s="172"/>
      <c r="BX3" s="172"/>
      <c r="BY3" s="172"/>
      <c r="BZ3" s="172"/>
      <c r="CA3" s="172"/>
      <c r="CB3" s="172"/>
      <c r="CC3" s="17"/>
      <c r="CD3" s="18"/>
      <c r="CE3" s="18"/>
      <c r="CF3" s="18"/>
      <c r="CG3" s="18"/>
      <c r="CH3" s="18"/>
      <c r="CI3" s="18"/>
      <c r="CP3" s="58"/>
      <c r="CQ3" s="58"/>
      <c r="CR3" s="58"/>
      <c r="CS3" s="58"/>
      <c r="CT3" s="58"/>
      <c r="CU3" s="58"/>
    </row>
    <row r="4" spans="2:99" ht="15" customHeight="1" x14ac:dyDescent="0.3">
      <c r="J4" s="3"/>
      <c r="K4" s="3"/>
      <c r="L4" s="3"/>
      <c r="M4" s="3"/>
      <c r="N4" s="3"/>
      <c r="O4" s="3"/>
      <c r="P4" s="3"/>
      <c r="Q4" s="3"/>
      <c r="R4" s="17"/>
      <c r="S4" s="17"/>
      <c r="T4" s="17"/>
      <c r="U4" s="17"/>
      <c r="V4" s="172"/>
      <c r="W4" s="172"/>
      <c r="X4" s="172"/>
      <c r="Y4" s="172"/>
      <c r="Z4" s="172"/>
      <c r="AA4" s="172"/>
      <c r="AB4" s="172"/>
      <c r="AC4" s="172"/>
      <c r="AD4" s="172"/>
      <c r="AE4" s="172"/>
      <c r="AF4" s="172"/>
      <c r="AG4" s="172"/>
      <c r="AH4" s="172"/>
      <c r="AI4" s="172"/>
      <c r="AJ4" s="172"/>
      <c r="AK4" s="172"/>
      <c r="AL4" s="57"/>
      <c r="AM4" s="57"/>
      <c r="AN4" s="57"/>
      <c r="AO4" s="57"/>
      <c r="AP4" s="57"/>
      <c r="AQ4" s="57"/>
      <c r="AR4" s="57"/>
      <c r="AS4" s="57"/>
      <c r="AT4" s="57"/>
      <c r="BF4" s="58"/>
      <c r="BG4" s="58"/>
      <c r="BH4" s="58"/>
      <c r="BI4" s="17"/>
      <c r="BJ4" s="17"/>
      <c r="BK4" s="17"/>
      <c r="BL4" s="17"/>
      <c r="BM4" s="17"/>
      <c r="BN4" s="172"/>
      <c r="BO4" s="172"/>
      <c r="BP4" s="172"/>
      <c r="BQ4" s="172"/>
      <c r="BR4" s="172"/>
      <c r="BS4" s="172"/>
      <c r="BT4" s="172"/>
      <c r="BU4" s="172"/>
      <c r="BV4" s="172"/>
      <c r="BW4" s="172"/>
      <c r="BX4" s="172"/>
      <c r="BY4" s="172"/>
      <c r="BZ4" s="172"/>
      <c r="CA4" s="172"/>
      <c r="CB4" s="172"/>
      <c r="CC4" s="17"/>
      <c r="CD4" s="18"/>
      <c r="CE4" s="18"/>
      <c r="CF4" s="18"/>
      <c r="CG4" s="18"/>
      <c r="CH4" s="18"/>
      <c r="CI4" s="18"/>
      <c r="CP4" s="58"/>
      <c r="CQ4" s="58"/>
      <c r="CR4" s="58"/>
      <c r="CS4" s="58"/>
      <c r="CT4" s="58"/>
      <c r="CU4" s="58"/>
    </row>
    <row r="5" spans="2:99" ht="4.95" customHeight="1" x14ac:dyDescent="0.3">
      <c r="J5" s="3"/>
      <c r="K5" s="3"/>
      <c r="L5" s="3"/>
      <c r="M5" s="3"/>
      <c r="N5" s="3"/>
      <c r="O5" s="3"/>
      <c r="P5" s="3"/>
      <c r="Q5" s="3"/>
      <c r="R5" s="17"/>
      <c r="S5" s="17"/>
      <c r="T5" s="17"/>
      <c r="U5" s="17"/>
      <c r="V5" s="17"/>
      <c r="W5" s="18"/>
      <c r="X5" s="18"/>
      <c r="Y5" s="18"/>
      <c r="Z5" s="18"/>
      <c r="AA5" s="18"/>
      <c r="AB5" s="18"/>
      <c r="AC5" s="18"/>
      <c r="AD5" s="18"/>
      <c r="AE5" s="18"/>
      <c r="AF5" s="18"/>
      <c r="AG5" s="18"/>
      <c r="AH5" s="18"/>
      <c r="AI5" s="18"/>
      <c r="AJ5" s="18"/>
      <c r="AK5" s="18"/>
      <c r="AL5" s="57"/>
      <c r="AM5" s="57"/>
      <c r="AN5" s="57"/>
      <c r="AO5" s="57"/>
      <c r="AP5" s="57"/>
      <c r="AQ5" s="57"/>
      <c r="AR5" s="57"/>
      <c r="AS5" s="57"/>
      <c r="AT5" s="57"/>
      <c r="BF5" s="58"/>
      <c r="BG5" s="58"/>
      <c r="BH5" s="58"/>
      <c r="BI5" s="17"/>
      <c r="BJ5" s="17"/>
      <c r="BK5" s="17"/>
      <c r="BL5" s="17"/>
      <c r="BM5" s="17"/>
      <c r="BN5" s="18"/>
      <c r="BO5" s="18"/>
      <c r="BP5" s="18"/>
      <c r="BQ5" s="18"/>
      <c r="BR5" s="18"/>
      <c r="BS5" s="18"/>
      <c r="BT5" s="18"/>
      <c r="BU5" s="18"/>
      <c r="BV5" s="18"/>
      <c r="BW5" s="18"/>
      <c r="BX5" s="18"/>
      <c r="BY5" s="18"/>
      <c r="BZ5" s="18"/>
      <c r="CA5" s="18"/>
      <c r="CB5" s="18"/>
      <c r="CC5" s="18"/>
      <c r="CD5" s="18"/>
      <c r="CE5" s="18"/>
      <c r="CF5" s="18"/>
      <c r="CG5" s="18"/>
      <c r="CH5" s="18"/>
      <c r="CI5" s="18"/>
      <c r="CP5" s="58"/>
      <c r="CQ5" s="58"/>
      <c r="CR5" s="58"/>
      <c r="CS5" s="58"/>
      <c r="CT5" s="58"/>
      <c r="CU5" s="58"/>
    </row>
    <row r="6" spans="2:99" ht="15" customHeight="1" x14ac:dyDescent="0.3">
      <c r="B6" s="1" t="s">
        <v>0</v>
      </c>
      <c r="C6" s="1"/>
      <c r="D6" s="1"/>
      <c r="E6" s="1"/>
      <c r="F6" s="1"/>
      <c r="G6" s="1"/>
      <c r="H6" s="1"/>
      <c r="I6" s="1"/>
      <c r="AB6" s="2" t="s">
        <v>387</v>
      </c>
      <c r="AC6" s="171"/>
      <c r="AD6" s="171"/>
      <c r="AE6" s="171"/>
      <c r="AF6" s="171"/>
      <c r="AG6" s="171"/>
      <c r="AH6" s="171"/>
      <c r="AI6" s="171"/>
      <c r="AJ6" s="171"/>
      <c r="AX6" s="65"/>
      <c r="AY6"/>
      <c r="AZ6"/>
      <c r="BA6"/>
      <c r="BB6"/>
      <c r="BC6"/>
      <c r="BD6"/>
      <c r="BE6"/>
      <c r="BF6"/>
      <c r="BG6"/>
      <c r="BH6"/>
      <c r="BI6"/>
      <c r="BJ6"/>
      <c r="BK6"/>
      <c r="BL6"/>
      <c r="BM6"/>
      <c r="BN6"/>
      <c r="BO6"/>
      <c r="BP6"/>
      <c r="BQ6"/>
      <c r="BR6"/>
      <c r="BS6"/>
      <c r="BT6"/>
      <c r="BU6"/>
      <c r="BV6"/>
      <c r="BW6"/>
      <c r="BX6"/>
      <c r="BY6"/>
      <c r="BZ6"/>
      <c r="CA6"/>
      <c r="CB6"/>
      <c r="CC6"/>
      <c r="CD6"/>
      <c r="CE6"/>
      <c r="CF6"/>
      <c r="CG6"/>
      <c r="CH6"/>
      <c r="CI6"/>
      <c r="CJ6"/>
    </row>
    <row r="7" spans="2:99" ht="14.55" customHeight="1" x14ac:dyDescent="0.3">
      <c r="D7" s="2" t="s">
        <v>128</v>
      </c>
      <c r="E7" s="201"/>
      <c r="F7" s="201"/>
      <c r="G7" s="201"/>
      <c r="H7" s="201"/>
      <c r="I7" s="201"/>
      <c r="J7" s="201"/>
      <c r="K7" s="201"/>
      <c r="L7" s="201"/>
      <c r="M7" s="201"/>
      <c r="N7" s="201"/>
      <c r="O7" s="201"/>
      <c r="P7" s="201"/>
      <c r="Q7" s="201"/>
      <c r="R7" s="201"/>
      <c r="S7" s="201"/>
      <c r="T7" s="201"/>
      <c r="U7" s="201"/>
      <c r="V7" s="201"/>
      <c r="W7" s="201"/>
      <c r="X7" s="201"/>
      <c r="AD7" s="2" t="s">
        <v>191</v>
      </c>
      <c r="AE7" s="188"/>
      <c r="AF7" s="188"/>
      <c r="AG7" s="188"/>
      <c r="AH7" s="188"/>
      <c r="AI7" s="188"/>
      <c r="AJ7" s="188"/>
      <c r="AV7" s="181" t="s">
        <v>64</v>
      </c>
      <c r="AW7" s="181"/>
      <c r="AX7" s="181"/>
      <c r="AY7" s="181"/>
      <c r="AZ7" s="181"/>
      <c r="BA7" s="181"/>
      <c r="BB7" s="181"/>
      <c r="BC7" s="181"/>
      <c r="BD7" s="181"/>
      <c r="BE7" s="181"/>
      <c r="BF7" s="181"/>
      <c r="BG7" s="181"/>
      <c r="BH7" s="181"/>
      <c r="BI7" s="181"/>
      <c r="BJ7" s="181"/>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row>
    <row r="8" spans="2:99" ht="14.55" customHeight="1" x14ac:dyDescent="0.3">
      <c r="D8" s="2" t="s">
        <v>129</v>
      </c>
      <c r="E8" s="202"/>
      <c r="F8" s="202"/>
      <c r="G8" s="202"/>
      <c r="H8" s="202"/>
      <c r="I8" s="202"/>
      <c r="J8" s="202"/>
      <c r="K8" s="202"/>
      <c r="L8" s="202"/>
      <c r="M8" s="202"/>
      <c r="N8" s="202"/>
      <c r="O8" s="202"/>
      <c r="P8" s="202"/>
      <c r="Q8" s="202"/>
      <c r="R8" s="202"/>
      <c r="S8" s="202"/>
      <c r="T8" s="202"/>
      <c r="U8" s="202"/>
      <c r="V8" s="202"/>
      <c r="W8" s="202"/>
      <c r="X8" s="202"/>
      <c r="AD8" s="2" t="s">
        <v>192</v>
      </c>
      <c r="AE8" s="203"/>
      <c r="AF8" s="203"/>
      <c r="AG8" s="203"/>
      <c r="AH8" s="203"/>
      <c r="AI8" s="203"/>
      <c r="AJ8" s="203"/>
      <c r="AV8" s="181"/>
      <c r="AW8" s="181"/>
      <c r="AX8" s="181"/>
      <c r="AY8" s="181"/>
      <c r="AZ8" s="181"/>
      <c r="BA8" s="181"/>
      <c r="BB8" s="181"/>
      <c r="BC8" s="181"/>
      <c r="BD8" s="181"/>
      <c r="BE8" s="181"/>
      <c r="BF8" s="181"/>
      <c r="BG8" s="181"/>
      <c r="BH8" s="181"/>
      <c r="BI8" s="181"/>
      <c r="BJ8" s="181"/>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row>
    <row r="9" spans="2:99" ht="1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60"/>
      <c r="AM9" s="60"/>
      <c r="AN9" s="60"/>
      <c r="AO9" s="60"/>
      <c r="AP9" s="60"/>
      <c r="AQ9" s="60"/>
      <c r="AR9" s="60"/>
      <c r="AS9" s="60"/>
      <c r="AT9" s="6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row>
    <row r="10" spans="2:99" ht="14.55" customHeight="1" x14ac:dyDescent="0.3">
      <c r="E10" s="2" t="s">
        <v>526</v>
      </c>
      <c r="F10" s="162"/>
      <c r="G10" s="21" t="s">
        <v>123</v>
      </c>
      <c r="M10" s="162"/>
      <c r="N10" s="21" t="s">
        <v>124</v>
      </c>
      <c r="T10" s="162"/>
      <c r="U10" s="21" t="s">
        <v>125</v>
      </c>
      <c r="AB10" s="162"/>
      <c r="AC10" s="21" t="str">
        <f>" "&amp;Tables!F37</f>
        <v xml:space="preserve"> Drainage Rights</v>
      </c>
      <c r="AV10" s="65" t="s">
        <v>112</v>
      </c>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row>
    <row r="11" spans="2:99" ht="4.95" customHeight="1" x14ac:dyDescent="0.3">
      <c r="C11" s="2"/>
      <c r="D11" s="2"/>
      <c r="E11" s="2"/>
      <c r="F11" s="2"/>
      <c r="G11" s="2"/>
      <c r="H11" s="2"/>
    </row>
    <row r="12" spans="2:99" ht="15" customHeight="1" x14ac:dyDescent="0.3">
      <c r="C12" s="2"/>
      <c r="D12" s="2"/>
      <c r="E12" s="2"/>
      <c r="F12" s="162"/>
      <c r="G12" s="21" t="s">
        <v>527</v>
      </c>
      <c r="H12" s="2"/>
      <c r="I12" s="2"/>
      <c r="J12" s="2"/>
      <c r="T12" s="162"/>
      <c r="U12" s="21" t="s">
        <v>525</v>
      </c>
      <c r="AV12" s="16">
        <v>1</v>
      </c>
      <c r="AW12" s="21" t="s">
        <v>299</v>
      </c>
    </row>
    <row r="13" spans="2:99" ht="15" customHeight="1" x14ac:dyDescent="0.3">
      <c r="C13" s="2"/>
      <c r="D13" s="2"/>
      <c r="E13" s="2"/>
      <c r="F13" s="2"/>
      <c r="G13" s="21" t="s">
        <v>528</v>
      </c>
      <c r="H13" s="2"/>
      <c r="I13" s="2"/>
      <c r="AV13" s="16"/>
      <c r="AW13" s="21" t="s">
        <v>298</v>
      </c>
    </row>
    <row r="14" spans="2:99" ht="14.55" customHeight="1" x14ac:dyDescent="0.3">
      <c r="D14" s="2"/>
      <c r="F14" s="2" t="s">
        <v>367</v>
      </c>
      <c r="G14" s="162"/>
      <c r="H14" s="13" t="s">
        <v>327</v>
      </c>
      <c r="J14" s="162"/>
      <c r="K14" s="13" t="s">
        <v>328</v>
      </c>
      <c r="Z14" s="2" t="s">
        <v>369</v>
      </c>
      <c r="AA14" s="183"/>
      <c r="AB14" s="183"/>
      <c r="AC14" s="183"/>
      <c r="AD14" s="183"/>
      <c r="AE14" s="177" t="str">
        <f>IF($AM$16=0,"Units?",IF($AM$16=1,"ac",IF($AM$16=2,"sq-ft","Error")))</f>
        <v>Units?</v>
      </c>
      <c r="AF14" s="177"/>
      <c r="AL14" s="87">
        <f>IF(AND(ISBLANK(G14),ISBLANK(J14)),1,2)</f>
        <v>1</v>
      </c>
      <c r="AM14" s="87">
        <f>IF(ISBLANK(G14),0,1)</f>
        <v>0</v>
      </c>
      <c r="AO14" s="60" t="s">
        <v>371</v>
      </c>
      <c r="AP14" s="117">
        <f>IF($AM$16=2,AA15/43560,AA15)</f>
        <v>0</v>
      </c>
      <c r="AQ14" s="14" t="s">
        <v>370</v>
      </c>
      <c r="AV14" s="16">
        <f>AV12+1</f>
        <v>2</v>
      </c>
      <c r="AW14" s="13" t="s">
        <v>300</v>
      </c>
      <c r="AX14" s="13"/>
      <c r="AY14" s="59"/>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row>
    <row r="15" spans="2:99" ht="14.55" customHeight="1" x14ac:dyDescent="0.3">
      <c r="B15" s="21" t="s">
        <v>2</v>
      </c>
      <c r="Z15" s="2" t="s">
        <v>368</v>
      </c>
      <c r="AA15" s="210"/>
      <c r="AB15" s="210"/>
      <c r="AC15" s="210"/>
      <c r="AD15" s="210"/>
      <c r="AE15" s="177" t="str">
        <f>IF($AM$16=0,"Units?",IF($AM$16=1,"ac",IF($AM$16=2,"sq-ft","Error")))</f>
        <v>Units?</v>
      </c>
      <c r="AF15" s="177"/>
      <c r="AM15" s="87">
        <f>IF(ISBLANK(J14),0,2)</f>
        <v>0</v>
      </c>
      <c r="AN15" s="60"/>
      <c r="AO15" s="60" t="s">
        <v>372</v>
      </c>
      <c r="AP15" s="117">
        <f>IF($AM$16=2,J21/43560,J21)</f>
        <v>0</v>
      </c>
      <c r="AQ15" s="14" t="s">
        <v>370</v>
      </c>
      <c r="AV15" s="16">
        <f>AV14+1</f>
        <v>3</v>
      </c>
      <c r="AW15" s="21" t="s">
        <v>301</v>
      </c>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row>
    <row r="16" spans="2:99" ht="14.55" customHeight="1" x14ac:dyDescent="0.3">
      <c r="D16" s="2"/>
      <c r="E16" s="2"/>
      <c r="F16" s="2"/>
      <c r="G16" s="2"/>
      <c r="I16" s="2" t="s">
        <v>204</v>
      </c>
      <c r="J16" s="183"/>
      <c r="K16" s="183"/>
      <c r="L16" s="183"/>
      <c r="M16" s="183"/>
      <c r="N16" s="177" t="str">
        <f t="shared" ref="N16:N21" si="0">IF($AM$16=0,"Units?",IF($AM$16=1,"ac",IF($AM$16=2,"sq-ft","Error")))</f>
        <v>Units?</v>
      </c>
      <c r="O16" s="177"/>
      <c r="S16" s="21" t="s">
        <v>49</v>
      </c>
      <c r="AM16" s="87">
        <f>SUM(AM14:AM15)</f>
        <v>0</v>
      </c>
      <c r="AN16" s="14" t="s">
        <v>323</v>
      </c>
      <c r="AO16" s="60" t="s">
        <v>373</v>
      </c>
      <c r="AP16" s="117">
        <f>AP15-AP14</f>
        <v>0</v>
      </c>
      <c r="AQ16" s="14" t="s">
        <v>370</v>
      </c>
      <c r="AV16" s="16"/>
      <c r="AW16" s="21" t="s">
        <v>302</v>
      </c>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row>
    <row r="17" spans="2:88" ht="14.55" customHeight="1" x14ac:dyDescent="0.3">
      <c r="D17" s="2"/>
      <c r="E17" s="2"/>
      <c r="F17" s="2"/>
      <c r="G17" s="2"/>
      <c r="I17" s="2" t="s">
        <v>205</v>
      </c>
      <c r="J17" s="178"/>
      <c r="K17" s="178"/>
      <c r="L17" s="178"/>
      <c r="M17" s="178"/>
      <c r="N17" s="177" t="str">
        <f t="shared" si="0"/>
        <v>Units?</v>
      </c>
      <c r="O17" s="177"/>
      <c r="V17" s="2" t="s">
        <v>50</v>
      </c>
      <c r="W17" s="215">
        <f>IF(AL17=1,"0.00",IFERROR(IF($J$21-$AA$15&lt;0,0,$J$21-$AA$15),""))</f>
        <v>0</v>
      </c>
      <c r="X17" s="215"/>
      <c r="Y17" s="215"/>
      <c r="Z17" s="215"/>
      <c r="AA17" s="177" t="str">
        <f>IF($AM$16=0,"Units?",IF($AM$16=1,"ac",IF($AM$16=2,"sq-ft","Error")))</f>
        <v>Units?</v>
      </c>
      <c r="AB17" s="177"/>
      <c r="AD17" s="2" t="s">
        <v>50</v>
      </c>
      <c r="AE17" s="213">
        <f>AP16</f>
        <v>0</v>
      </c>
      <c r="AF17" s="213"/>
      <c r="AG17" s="213"/>
      <c r="AH17" s="213"/>
      <c r="AI17" s="177" t="s">
        <v>370</v>
      </c>
      <c r="AJ17" s="177"/>
      <c r="AL17" s="87">
        <f>IF(AND(J21=0,ISBLANK(AA15)),0,IF(OR(J21-AA15=0,J21-AA15&lt;0),1,2))</f>
        <v>0</v>
      </c>
      <c r="AM17" s="14" t="s">
        <v>374</v>
      </c>
      <c r="AV17" s="16">
        <f>AV15+1</f>
        <v>4</v>
      </c>
      <c r="AW17" s="21" t="s">
        <v>541</v>
      </c>
      <c r="AY17" s="20"/>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row>
    <row r="18" spans="2:88" ht="14.55" customHeight="1" x14ac:dyDescent="0.3">
      <c r="D18" s="2"/>
      <c r="E18" s="2"/>
      <c r="F18" s="2"/>
      <c r="G18" s="2"/>
      <c r="I18" s="2" t="s">
        <v>206</v>
      </c>
      <c r="J18" s="178"/>
      <c r="K18" s="178"/>
      <c r="L18" s="178"/>
      <c r="M18" s="178"/>
      <c r="N18" s="177" t="str">
        <f t="shared" si="0"/>
        <v>Units?</v>
      </c>
      <c r="O18" s="177"/>
      <c r="S18" s="21" t="s">
        <v>33</v>
      </c>
      <c r="AV18" s="16"/>
      <c r="AW18" s="21" t="s">
        <v>245</v>
      </c>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row>
    <row r="19" spans="2:88" ht="14.55" customHeight="1" x14ac:dyDescent="0.3">
      <c r="D19" s="2"/>
      <c r="E19" s="2"/>
      <c r="F19" s="2"/>
      <c r="G19" s="2"/>
      <c r="I19" s="2" t="s">
        <v>207</v>
      </c>
      <c r="J19" s="178"/>
      <c r="K19" s="178"/>
      <c r="L19" s="178"/>
      <c r="M19" s="178"/>
      <c r="N19" s="177" t="str">
        <f t="shared" si="0"/>
        <v>Units?</v>
      </c>
      <c r="O19" s="177"/>
      <c r="V19" s="2" t="s">
        <v>35</v>
      </c>
      <c r="W19" s="21" t="str">
        <f>"AIA acres X "&amp;Tables!G15&amp; " in X 3,630"</f>
        <v>AIA acres X 1.00 in X 3,630</v>
      </c>
      <c r="AV19" s="16"/>
      <c r="AW19" s="21" t="str">
        <f>"by the "&amp;Tables!$F$23&amp;" Engineer;"</f>
        <v>by the County Engineer;</v>
      </c>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row>
    <row r="20" spans="2:88" ht="14.55" customHeight="1" thickBot="1" x14ac:dyDescent="0.35">
      <c r="D20" s="2"/>
      <c r="E20" s="2"/>
      <c r="F20" s="2"/>
      <c r="G20" s="2"/>
      <c r="I20" s="2" t="s">
        <v>208</v>
      </c>
      <c r="J20" s="211"/>
      <c r="K20" s="211"/>
      <c r="L20" s="211"/>
      <c r="M20" s="211"/>
      <c r="N20" s="177" t="str">
        <f t="shared" si="0"/>
        <v>Units?</v>
      </c>
      <c r="O20" s="177"/>
      <c r="V20" s="2" t="s">
        <v>35</v>
      </c>
      <c r="W20" s="213">
        <f>IF(AL17=1,"0.00",IFERROR(IF($J$21-$AA$15&lt;0,0,$AP$16),""))</f>
        <v>0</v>
      </c>
      <c r="X20" s="213"/>
      <c r="Y20" s="213"/>
      <c r="Z20" s="213"/>
      <c r="AA20" s="21" t="str">
        <f>"acres X "&amp;Tables!G15&amp;" in X 3,630"</f>
        <v>acres X 1.00 in X 3,630</v>
      </c>
      <c r="AV20" s="16">
        <f>AV17+1</f>
        <v>5</v>
      </c>
      <c r="AW20" s="65" t="s">
        <v>246</v>
      </c>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row>
    <row r="21" spans="2:88" ht="14.55" customHeight="1" thickTop="1" x14ac:dyDescent="0.3">
      <c r="D21" s="2"/>
      <c r="E21" s="2"/>
      <c r="F21" s="2"/>
      <c r="G21" s="2"/>
      <c r="I21" s="2" t="s">
        <v>209</v>
      </c>
      <c r="J21" s="215">
        <f>IF(SUM($J$16:$J$20)=0,0,SUM($J$16:$J$20))</f>
        <v>0</v>
      </c>
      <c r="K21" s="215"/>
      <c r="L21" s="215"/>
      <c r="M21" s="215"/>
      <c r="N21" s="177" t="str">
        <f t="shared" si="0"/>
        <v>Units?</v>
      </c>
      <c r="O21" s="177"/>
      <c r="V21" s="2" t="s">
        <v>35</v>
      </c>
      <c r="W21" s="205">
        <f>IF(AL17=1,"0",IFERROR(ROUND(IF(AP16*Tables!F15*3630&lt;0,0,AP16*Tables!F15*3630),0),""))</f>
        <v>0</v>
      </c>
      <c r="X21" s="205"/>
      <c r="Y21" s="205"/>
      <c r="Z21" s="205"/>
      <c r="AA21" s="21" t="s">
        <v>34</v>
      </c>
      <c r="AV21" s="16"/>
      <c r="AW21" s="65" t="str">
        <f>"pre-development hydrology for the "&amp;Tables!$F$28&amp;"-year 24-hour rainfall depths;"</f>
        <v>pre-development hydrology for the 2, 5, 10, 25, 50, and 100-year 24-hour rainfall depths;</v>
      </c>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row>
    <row r="22" spans="2:88" ht="15" customHeight="1" x14ac:dyDescent="0.3">
      <c r="AV22" s="16">
        <v>6</v>
      </c>
      <c r="AW22" s="21" t="s">
        <v>410</v>
      </c>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row>
    <row r="23" spans="2:88" ht="15" customHeight="1" x14ac:dyDescent="0.3">
      <c r="B23" s="1" t="s">
        <v>3</v>
      </c>
      <c r="C23" s="1"/>
      <c r="D23" s="1"/>
      <c r="E23" s="1"/>
      <c r="F23" s="1"/>
      <c r="G23" s="1"/>
      <c r="H23" s="1"/>
      <c r="I23" s="1"/>
      <c r="X23" s="2" t="s">
        <v>331</v>
      </c>
      <c r="Y23" s="162"/>
      <c r="Z23" s="21" t="s">
        <v>332</v>
      </c>
      <c r="AB23" s="162"/>
      <c r="AC23" s="21" t="s">
        <v>333</v>
      </c>
      <c r="AE23" s="162"/>
      <c r="AF23" s="21" t="s">
        <v>334</v>
      </c>
      <c r="AH23" s="162"/>
      <c r="AI23" s="21" t="s">
        <v>335</v>
      </c>
      <c r="AL23" s="87">
        <f>IF(AND(ISBLANK(Y23),ISBLANK(AB23),ISBLANK(AE23),ISBLANK(AH23)),1,2)</f>
        <v>1</v>
      </c>
      <c r="AW23" s="4" t="s">
        <v>90</v>
      </c>
      <c r="AX23" s="21" t="str">
        <f>"Obtain "&amp;Tables!F37&amp;" for the adjacent property"</f>
        <v>Obtain Drainage Rights for the adjacent property</v>
      </c>
      <c r="AY23"/>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row>
    <row r="24" spans="2:88" s="15" customFormat="1" ht="15" hidden="1" customHeight="1" x14ac:dyDescent="0.3">
      <c r="B24" s="128"/>
      <c r="C24" s="128"/>
      <c r="D24" s="128"/>
      <c r="E24" s="128"/>
      <c r="F24" s="128"/>
      <c r="G24" s="128"/>
      <c r="H24" s="128"/>
      <c r="I24" s="128"/>
      <c r="L24" s="87">
        <f>IF(ISBLANK(L25),1,2)</f>
        <v>1</v>
      </c>
      <c r="P24" s="87">
        <f>IF(ISBLANK(P25),1,2)</f>
        <v>1</v>
      </c>
      <c r="T24" s="87">
        <f>IF(ISBLANK(T25),1,2)</f>
        <v>1</v>
      </c>
      <c r="X24" s="87">
        <f>IF(ISBLANK(X25),1,2)</f>
        <v>1</v>
      </c>
      <c r="AB24" s="87">
        <f>IF(ISBLANK(AB25),1,2)</f>
        <v>1</v>
      </c>
    </row>
    <row r="25" spans="2:88" ht="14.55" customHeight="1" x14ac:dyDescent="0.3">
      <c r="I25" s="2"/>
      <c r="J25" s="2" t="s">
        <v>45</v>
      </c>
      <c r="K25" s="2"/>
      <c r="L25" s="209"/>
      <c r="M25" s="209"/>
      <c r="N25" s="209"/>
      <c r="P25" s="209"/>
      <c r="Q25" s="209"/>
      <c r="R25" s="209"/>
      <c r="T25" s="209"/>
      <c r="U25" s="209"/>
      <c r="V25" s="209"/>
      <c r="W25" s="4"/>
      <c r="X25" s="209"/>
      <c r="Y25" s="209"/>
      <c r="Z25" s="209"/>
      <c r="AB25" s="209"/>
      <c r="AC25" s="209"/>
      <c r="AD25" s="209"/>
      <c r="AE25" s="4"/>
      <c r="AF25" s="186" t="s">
        <v>13</v>
      </c>
      <c r="AG25" s="186"/>
      <c r="AH25" s="186"/>
      <c r="AI25" s="4"/>
      <c r="AJ25" s="4"/>
      <c r="AW25" s="4" t="s">
        <v>91</v>
      </c>
      <c r="AX25" s="21" t="str">
        <f>"If a "&amp;Tables!$F$37&amp;" cannot be obtained, size the retention pond to attenuate the"</f>
        <v>If a Drainage Rights cannot be obtained, size the retention pond to attenuate the</v>
      </c>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row>
    <row r="26" spans="2:88" ht="14.55" customHeight="1" x14ac:dyDescent="0.3">
      <c r="H26" s="2" t="s">
        <v>375</v>
      </c>
      <c r="I26" s="214" t="str">
        <f>IF($AM$16=0,"Units?",IF($AM$16=1,"(ac):",IF($AM$16=2,"(sq-ft):","Error")))</f>
        <v>Units?</v>
      </c>
      <c r="J26" s="214"/>
      <c r="K26" s="2"/>
      <c r="L26" s="178"/>
      <c r="M26" s="178"/>
      <c r="N26" s="178"/>
      <c r="P26" s="178"/>
      <c r="Q26" s="178"/>
      <c r="R26" s="178"/>
      <c r="T26" s="178"/>
      <c r="U26" s="178"/>
      <c r="V26" s="178"/>
      <c r="W26" s="4"/>
      <c r="X26" s="178"/>
      <c r="Y26" s="178"/>
      <c r="Z26" s="178"/>
      <c r="AB26" s="178"/>
      <c r="AC26" s="178"/>
      <c r="AD26" s="178"/>
      <c r="AE26" s="4"/>
      <c r="AF26" s="183"/>
      <c r="AG26" s="183"/>
      <c r="AH26" s="183"/>
      <c r="AI26" s="4"/>
      <c r="AJ26" s="4"/>
      <c r="AX26" s="65" t="str">
        <f>"post-development peak discharges for the "&amp;AS123&amp;"-year to be less than the"</f>
        <v>post-development peak discharges for the 2, 5, 10, 25, 50, and 100-year to be less than the</v>
      </c>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row>
    <row r="27" spans="2:88" ht="14.55" customHeight="1" x14ac:dyDescent="0.3">
      <c r="I27" s="2"/>
      <c r="J27" s="2" t="s">
        <v>4</v>
      </c>
      <c r="K27" s="2"/>
      <c r="L27" s="180"/>
      <c r="M27" s="180"/>
      <c r="N27" s="180"/>
      <c r="P27" s="182"/>
      <c r="Q27" s="182"/>
      <c r="R27" s="182"/>
      <c r="S27" s="61"/>
      <c r="T27" s="182"/>
      <c r="U27" s="182"/>
      <c r="V27" s="182"/>
      <c r="W27" s="4"/>
      <c r="X27" s="182"/>
      <c r="Y27" s="182"/>
      <c r="Z27" s="182"/>
      <c r="AB27" s="182"/>
      <c r="AC27" s="182"/>
      <c r="AD27" s="182"/>
      <c r="AE27" s="4"/>
      <c r="AF27" s="118"/>
      <c r="AG27" s="118"/>
      <c r="AH27" s="118"/>
      <c r="AI27" s="4"/>
      <c r="AJ27" s="4"/>
      <c r="AX27" s="65" t="str">
        <f>"pre-development peak discharge(s) for the "&amp;AR123&amp;"-year storm event(s)"</f>
        <v>pre-development peak discharge(s) for the 2, 5, 10, 25, 50, and 100-year storm event(s)</v>
      </c>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row>
    <row r="28" spans="2:88" ht="14.55" customHeight="1" x14ac:dyDescent="0.3">
      <c r="I28" s="2"/>
      <c r="J28" s="2" t="s">
        <v>48</v>
      </c>
      <c r="K28" s="2"/>
      <c r="L28" s="180"/>
      <c r="M28" s="180"/>
      <c r="N28" s="180"/>
      <c r="P28" s="182"/>
      <c r="Q28" s="182"/>
      <c r="R28" s="182"/>
      <c r="S28" s="25"/>
      <c r="T28" s="182"/>
      <c r="U28" s="182"/>
      <c r="V28" s="182"/>
      <c r="W28" s="4"/>
      <c r="X28" s="182"/>
      <c r="Y28" s="182"/>
      <c r="Z28" s="182"/>
      <c r="AB28" s="182"/>
      <c r="AC28" s="182"/>
      <c r="AD28" s="182"/>
      <c r="AE28" s="4"/>
      <c r="AF28" s="25"/>
      <c r="AG28" s="25"/>
      <c r="AH28" s="25"/>
      <c r="AI28" s="4"/>
      <c r="AJ28" s="4"/>
      <c r="AL28" s="94">
        <f>SUM(AL29:AL34)</f>
        <v>0</v>
      </c>
      <c r="AM28" s="87">
        <f>SUM(AM29:AM34)</f>
        <v>0</v>
      </c>
      <c r="AN28" s="14" t="s">
        <v>13</v>
      </c>
      <c r="AW28" s="4" t="s">
        <v>103</v>
      </c>
      <c r="AX28" s="21" t="str">
        <f>"If a "&amp;Tables!$F$37&amp;" cannot be obtained and the retention pond will discharge to an area that is currently"</f>
        <v>If a Drainage Rights cannot be obtained and the retention pond will discharge to an area that is currently</v>
      </c>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row>
    <row r="29" spans="2:88" ht="14.55" customHeight="1" x14ac:dyDescent="0.3">
      <c r="D29" s="212" t="s">
        <v>336</v>
      </c>
      <c r="E29" s="212"/>
      <c r="F29" s="184">
        <f>Tables!$F$16</f>
        <v>6.02</v>
      </c>
      <c r="G29" s="184"/>
      <c r="H29" s="25"/>
      <c r="J29" s="2" t="str">
        <f>Tables!$D$16</f>
        <v>(2-yr)</v>
      </c>
      <c r="K29" s="2"/>
      <c r="L29" s="210"/>
      <c r="M29" s="183"/>
      <c r="N29" s="183"/>
      <c r="P29" s="183"/>
      <c r="Q29" s="183"/>
      <c r="R29" s="183"/>
      <c r="S29" s="33"/>
      <c r="T29" s="183"/>
      <c r="U29" s="183"/>
      <c r="V29" s="183"/>
      <c r="W29" s="4"/>
      <c r="X29" s="183"/>
      <c r="Y29" s="183"/>
      <c r="Z29" s="183"/>
      <c r="AB29" s="183"/>
      <c r="AC29" s="183"/>
      <c r="AD29" s="183"/>
      <c r="AE29" s="4"/>
      <c r="AF29" s="183"/>
      <c r="AG29" s="183"/>
      <c r="AH29" s="183"/>
      <c r="AI29" s="4"/>
      <c r="AJ29" s="4"/>
      <c r="AL29" s="87">
        <f t="shared" ref="AL29:AL34" si="1">IF(AF29=0,0,1)</f>
        <v>0</v>
      </c>
      <c r="AM29" s="87">
        <f t="shared" ref="AM29:AM34" si="2">IF(ISBLANK(AF29),0,1)</f>
        <v>0</v>
      </c>
      <c r="AX29" s="21" t="s">
        <v>540</v>
      </c>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row>
    <row r="30" spans="2:88" ht="14.55" customHeight="1" x14ac:dyDescent="0.3">
      <c r="D30" s="212"/>
      <c r="E30" s="212"/>
      <c r="F30" s="184">
        <f>Tables!$F$17</f>
        <v>7.68</v>
      </c>
      <c r="G30" s="184"/>
      <c r="H30" s="25"/>
      <c r="J30" s="2" t="str">
        <f>Tables!$D$17</f>
        <v>(5-yr)</v>
      </c>
      <c r="K30" s="2"/>
      <c r="L30" s="183"/>
      <c r="M30" s="183"/>
      <c r="N30" s="183"/>
      <c r="P30" s="183"/>
      <c r="Q30" s="183"/>
      <c r="R30" s="183"/>
      <c r="S30" s="33"/>
      <c r="T30" s="178"/>
      <c r="U30" s="178"/>
      <c r="V30" s="178"/>
      <c r="W30" s="4"/>
      <c r="X30" s="178"/>
      <c r="Y30" s="178"/>
      <c r="Z30" s="178"/>
      <c r="AB30" s="178"/>
      <c r="AC30" s="178"/>
      <c r="AD30" s="178"/>
      <c r="AE30" s="4"/>
      <c r="AF30" s="178"/>
      <c r="AG30" s="178"/>
      <c r="AH30" s="178"/>
      <c r="AI30" s="4"/>
      <c r="AJ30" s="4"/>
      <c r="AL30" s="87">
        <f t="shared" si="1"/>
        <v>0</v>
      </c>
      <c r="AM30" s="87">
        <f t="shared" si="2"/>
        <v>0</v>
      </c>
      <c r="AV30" s="16">
        <f>AV22+1</f>
        <v>7</v>
      </c>
      <c r="AW30" s="21" t="s">
        <v>303</v>
      </c>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row>
    <row r="31" spans="2:88" ht="14.55" customHeight="1" x14ac:dyDescent="0.3">
      <c r="D31" s="212"/>
      <c r="E31" s="212"/>
      <c r="F31" s="184">
        <f>Tables!$F$18</f>
        <v>9.26</v>
      </c>
      <c r="G31" s="184"/>
      <c r="H31" s="25"/>
      <c r="J31" s="2" t="str">
        <f>Tables!$D$18</f>
        <v>(10-yr)</v>
      </c>
      <c r="K31" s="2"/>
      <c r="L31" s="183"/>
      <c r="M31" s="183"/>
      <c r="N31" s="183"/>
      <c r="P31" s="178"/>
      <c r="Q31" s="178"/>
      <c r="R31" s="178"/>
      <c r="S31" s="33"/>
      <c r="T31" s="178"/>
      <c r="U31" s="178"/>
      <c r="V31" s="178"/>
      <c r="W31" s="4"/>
      <c r="X31" s="178"/>
      <c r="Y31" s="178"/>
      <c r="Z31" s="178"/>
      <c r="AB31" s="178"/>
      <c r="AC31" s="178"/>
      <c r="AD31" s="178"/>
      <c r="AE31" s="4"/>
      <c r="AF31" s="178"/>
      <c r="AG31" s="178"/>
      <c r="AH31" s="178"/>
      <c r="AI31" s="4"/>
      <c r="AJ31" s="4"/>
      <c r="AL31" s="87">
        <f t="shared" si="1"/>
        <v>0</v>
      </c>
      <c r="AM31" s="87">
        <f t="shared" si="2"/>
        <v>0</v>
      </c>
      <c r="AW31" s="21" t="s">
        <v>304</v>
      </c>
      <c r="AY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row>
    <row r="32" spans="2:88" ht="14.55" customHeight="1" x14ac:dyDescent="0.3">
      <c r="D32" s="212"/>
      <c r="E32" s="212"/>
      <c r="F32" s="184">
        <f>Tables!$F$19</f>
        <v>11.7</v>
      </c>
      <c r="G32" s="184"/>
      <c r="H32" s="25"/>
      <c r="J32" s="2" t="str">
        <f>Tables!$D$19</f>
        <v>(25-yr)</v>
      </c>
      <c r="K32" s="2"/>
      <c r="L32" s="183"/>
      <c r="M32" s="183"/>
      <c r="N32" s="183"/>
      <c r="P32" s="178"/>
      <c r="Q32" s="178"/>
      <c r="R32" s="178"/>
      <c r="S32" s="33"/>
      <c r="T32" s="178"/>
      <c r="U32" s="178"/>
      <c r="V32" s="178"/>
      <c r="W32" s="4"/>
      <c r="X32" s="178"/>
      <c r="Y32" s="178"/>
      <c r="Z32" s="178"/>
      <c r="AB32" s="178"/>
      <c r="AC32" s="178"/>
      <c r="AD32" s="178"/>
      <c r="AE32" s="4"/>
      <c r="AF32" s="178"/>
      <c r="AG32" s="178"/>
      <c r="AH32" s="178"/>
      <c r="AI32" s="4"/>
      <c r="AJ32" s="4"/>
      <c r="AL32" s="87">
        <f t="shared" si="1"/>
        <v>0</v>
      </c>
      <c r="AM32" s="87">
        <f t="shared" si="2"/>
        <v>0</v>
      </c>
      <c r="AW32" s="21" t="s">
        <v>247</v>
      </c>
      <c r="AY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row>
    <row r="33" spans="2:88" ht="14.55" customHeight="1" x14ac:dyDescent="0.3">
      <c r="D33" s="212"/>
      <c r="E33" s="212"/>
      <c r="F33" s="184">
        <f>Tables!$F$20</f>
        <v>13.9</v>
      </c>
      <c r="G33" s="184"/>
      <c r="H33" s="25"/>
      <c r="J33" s="2" t="str">
        <f>Tables!$D$20</f>
        <v>(50-yr)</v>
      </c>
      <c r="K33" s="2"/>
      <c r="L33" s="183"/>
      <c r="M33" s="183"/>
      <c r="N33" s="183"/>
      <c r="P33" s="178"/>
      <c r="Q33" s="178"/>
      <c r="R33" s="178"/>
      <c r="S33" s="33"/>
      <c r="T33" s="178"/>
      <c r="U33" s="178"/>
      <c r="V33" s="178"/>
      <c r="W33" s="4"/>
      <c r="X33" s="178"/>
      <c r="Y33" s="178"/>
      <c r="Z33" s="178"/>
      <c r="AB33" s="178"/>
      <c r="AC33" s="178"/>
      <c r="AD33" s="178"/>
      <c r="AE33" s="4"/>
      <c r="AF33" s="178"/>
      <c r="AG33" s="178"/>
      <c r="AH33" s="178"/>
      <c r="AI33" s="4"/>
      <c r="AJ33" s="4"/>
      <c r="AL33" s="87">
        <f t="shared" si="1"/>
        <v>0</v>
      </c>
      <c r="AM33" s="87">
        <f t="shared" si="2"/>
        <v>0</v>
      </c>
      <c r="AV33" s="16">
        <f>AV30+1</f>
        <v>8</v>
      </c>
      <c r="AW33" s="21" t="s">
        <v>248</v>
      </c>
      <c r="AY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row>
    <row r="34" spans="2:88" ht="14.55" customHeight="1" x14ac:dyDescent="0.3">
      <c r="D34" s="212"/>
      <c r="E34" s="212"/>
      <c r="F34" s="184">
        <f>Tables!$F$21</f>
        <v>16.3</v>
      </c>
      <c r="G34" s="184"/>
      <c r="H34" s="25"/>
      <c r="J34" s="2" t="str">
        <f>Tables!$D$21</f>
        <v>(100-yr)</v>
      </c>
      <c r="K34" s="2"/>
      <c r="L34" s="183"/>
      <c r="M34" s="183"/>
      <c r="N34" s="183"/>
      <c r="P34" s="178"/>
      <c r="Q34" s="178"/>
      <c r="R34" s="178"/>
      <c r="S34" s="33"/>
      <c r="T34" s="178"/>
      <c r="U34" s="178"/>
      <c r="V34" s="178"/>
      <c r="W34" s="4"/>
      <c r="X34" s="178"/>
      <c r="Y34" s="178"/>
      <c r="Z34" s="178"/>
      <c r="AB34" s="178"/>
      <c r="AC34" s="178"/>
      <c r="AD34" s="178"/>
      <c r="AE34" s="4"/>
      <c r="AF34" s="178"/>
      <c r="AG34" s="178"/>
      <c r="AH34" s="178"/>
      <c r="AI34" s="4"/>
      <c r="AJ34" s="4"/>
      <c r="AL34" s="87">
        <f t="shared" si="1"/>
        <v>0</v>
      </c>
      <c r="AM34" s="87">
        <f t="shared" si="2"/>
        <v>0</v>
      </c>
      <c r="AW34" s="21" t="s">
        <v>249</v>
      </c>
      <c r="AY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row>
    <row r="35" spans="2:88" ht="15" customHeight="1" x14ac:dyDescent="0.3">
      <c r="AL35" s="15"/>
      <c r="AM35" s="15"/>
      <c r="AV35" s="16">
        <f>AV33+1</f>
        <v>9</v>
      </c>
      <c r="AW35" s="21" t="s">
        <v>516</v>
      </c>
      <c r="AY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row>
    <row r="36" spans="2:88" ht="15" customHeight="1" x14ac:dyDescent="0.3">
      <c r="B36" s="1" t="s">
        <v>11</v>
      </c>
      <c r="C36" s="1"/>
      <c r="D36" s="1"/>
      <c r="E36" s="1"/>
      <c r="F36" s="1"/>
      <c r="G36" s="1"/>
      <c r="H36" s="1"/>
      <c r="I36" s="1"/>
      <c r="AV36" s="16"/>
      <c r="AW36" s="21" t="s">
        <v>515</v>
      </c>
      <c r="AY36" s="20"/>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row>
    <row r="37" spans="2:88" s="15" customFormat="1" ht="15" hidden="1" customHeight="1" x14ac:dyDescent="0.3">
      <c r="B37" s="128"/>
      <c r="C37" s="128"/>
      <c r="D37" s="128"/>
      <c r="E37" s="128"/>
      <c r="F37" s="128"/>
      <c r="G37" s="128"/>
      <c r="H37" s="128"/>
      <c r="I37" s="128"/>
      <c r="L37" s="87">
        <f>IF(ISBLANK(L38),1,2)</f>
        <v>1</v>
      </c>
      <c r="P37" s="87">
        <f>IF(ISBLANK(P38),1,2)</f>
        <v>1</v>
      </c>
      <c r="T37" s="87">
        <f>IF(ISBLANK(T38),1,2)</f>
        <v>1</v>
      </c>
      <c r="X37" s="87">
        <f>IF(ISBLANK(X38),1,2)</f>
        <v>1</v>
      </c>
      <c r="AB37" s="87">
        <f>IF(ISBLANK(AB38),1,2)</f>
        <v>1</v>
      </c>
    </row>
    <row r="38" spans="2:88" ht="14.55" customHeight="1" x14ac:dyDescent="0.3">
      <c r="I38" s="2"/>
      <c r="J38" s="2" t="s">
        <v>45</v>
      </c>
      <c r="K38" s="2"/>
      <c r="L38" s="209"/>
      <c r="M38" s="209"/>
      <c r="N38" s="209"/>
      <c r="P38" s="209"/>
      <c r="Q38" s="209"/>
      <c r="R38" s="209"/>
      <c r="S38" s="4"/>
      <c r="T38" s="209"/>
      <c r="U38" s="209"/>
      <c r="V38" s="209"/>
      <c r="W38" s="4"/>
      <c r="X38" s="209"/>
      <c r="Y38" s="209"/>
      <c r="Z38" s="209"/>
      <c r="AB38" s="209"/>
      <c r="AC38" s="209"/>
      <c r="AD38" s="209"/>
      <c r="AE38" s="4"/>
      <c r="AG38" s="4" t="s">
        <v>12</v>
      </c>
      <c r="AH38" s="4"/>
      <c r="AI38" s="4"/>
      <c r="AJ38" s="4"/>
      <c r="AV38" s="16">
        <f>AV35+1</f>
        <v>10</v>
      </c>
      <c r="AW38" s="21" t="s">
        <v>305</v>
      </c>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row>
    <row r="39" spans="2:88" ht="14.55" customHeight="1" x14ac:dyDescent="0.3">
      <c r="H39" s="2" t="s">
        <v>375</v>
      </c>
      <c r="I39" s="214" t="str">
        <f>IF($AM$16=0,"Units?",IF($AM$16=1,"(ac):",IF($AM$16=2,"(sq-ft):","Error")))</f>
        <v>Units?</v>
      </c>
      <c r="J39" s="214"/>
      <c r="K39" s="2"/>
      <c r="L39" s="183"/>
      <c r="M39" s="183"/>
      <c r="N39" s="183"/>
      <c r="P39" s="178"/>
      <c r="Q39" s="178"/>
      <c r="R39" s="178"/>
      <c r="S39" s="4"/>
      <c r="T39" s="178"/>
      <c r="U39" s="178"/>
      <c r="V39" s="178"/>
      <c r="W39" s="4"/>
      <c r="X39" s="178"/>
      <c r="Y39" s="178"/>
      <c r="Z39" s="178"/>
      <c r="AB39" s="178"/>
      <c r="AC39" s="178"/>
      <c r="AD39" s="178"/>
      <c r="AE39" s="4"/>
      <c r="AF39" s="183"/>
      <c r="AG39" s="183"/>
      <c r="AH39" s="183"/>
      <c r="AI39" s="4"/>
      <c r="AJ39" s="4"/>
      <c r="AV39" s="16"/>
      <c r="AW39" s="21" t="s">
        <v>380</v>
      </c>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row>
    <row r="40" spans="2:88" ht="14.55" customHeight="1" x14ac:dyDescent="0.3">
      <c r="I40" s="2"/>
      <c r="J40" s="2" t="s">
        <v>4</v>
      </c>
      <c r="K40" s="2"/>
      <c r="L40" s="180"/>
      <c r="M40" s="180"/>
      <c r="N40" s="180"/>
      <c r="P40" s="182"/>
      <c r="Q40" s="182"/>
      <c r="R40" s="182"/>
      <c r="S40" s="4"/>
      <c r="T40" s="182"/>
      <c r="U40" s="182"/>
      <c r="V40" s="182"/>
      <c r="W40" s="4"/>
      <c r="X40" s="182"/>
      <c r="Y40" s="182"/>
      <c r="Z40" s="182"/>
      <c r="AB40" s="182"/>
      <c r="AC40" s="182"/>
      <c r="AD40" s="182"/>
      <c r="AE40" s="4"/>
      <c r="AF40" s="118"/>
      <c r="AG40" s="118"/>
      <c r="AH40" s="118"/>
      <c r="AI40" s="4"/>
      <c r="AJ40" s="4"/>
      <c r="AW40" s="21" t="s">
        <v>381</v>
      </c>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row>
    <row r="41" spans="2:88" ht="14.55" customHeight="1" x14ac:dyDescent="0.3">
      <c r="I41" s="2"/>
      <c r="J41" s="2" t="s">
        <v>48</v>
      </c>
      <c r="K41" s="2"/>
      <c r="L41" s="180"/>
      <c r="M41" s="180"/>
      <c r="N41" s="180"/>
      <c r="P41" s="182"/>
      <c r="Q41" s="182"/>
      <c r="R41" s="182"/>
      <c r="S41" s="4"/>
      <c r="T41" s="182"/>
      <c r="U41" s="182"/>
      <c r="V41" s="182"/>
      <c r="W41" s="4"/>
      <c r="X41" s="182"/>
      <c r="Y41" s="182"/>
      <c r="Z41" s="182"/>
      <c r="AB41" s="182"/>
      <c r="AC41" s="182"/>
      <c r="AD41" s="182"/>
      <c r="AE41" s="4"/>
      <c r="AF41" s="25"/>
      <c r="AG41" s="25"/>
      <c r="AH41" s="25"/>
      <c r="AI41" s="4"/>
      <c r="AJ41" s="4"/>
      <c r="AL41" s="94">
        <f>SUM(AL42:AL47)</f>
        <v>0</v>
      </c>
      <c r="AM41" s="87">
        <f>SUM(AM42:AM47)</f>
        <v>0</v>
      </c>
      <c r="AN41" s="14" t="s">
        <v>12</v>
      </c>
      <c r="AV41" s="16">
        <f>AV38+1</f>
        <v>11</v>
      </c>
      <c r="AW41" s="21" t="s">
        <v>393</v>
      </c>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row>
    <row r="42" spans="2:88" ht="14.55" customHeight="1" x14ac:dyDescent="0.3">
      <c r="D42" s="212" t="s">
        <v>336</v>
      </c>
      <c r="E42" s="212"/>
      <c r="F42" s="184">
        <f>Tables!$F$16</f>
        <v>6.02</v>
      </c>
      <c r="G42" s="184"/>
      <c r="H42" s="25"/>
      <c r="J42" s="2" t="str">
        <f>Tables!$D$16</f>
        <v>(2-yr)</v>
      </c>
      <c r="K42" s="2"/>
      <c r="L42" s="183"/>
      <c r="M42" s="183"/>
      <c r="N42" s="183"/>
      <c r="P42" s="183"/>
      <c r="Q42" s="183"/>
      <c r="R42" s="183"/>
      <c r="S42" s="4"/>
      <c r="T42" s="183"/>
      <c r="U42" s="183"/>
      <c r="V42" s="183"/>
      <c r="W42" s="4"/>
      <c r="X42" s="183"/>
      <c r="Y42" s="183"/>
      <c r="Z42" s="183"/>
      <c r="AB42" s="183"/>
      <c r="AC42" s="183"/>
      <c r="AD42" s="183"/>
      <c r="AE42" s="4"/>
      <c r="AF42" s="183"/>
      <c r="AG42" s="183"/>
      <c r="AH42" s="183"/>
      <c r="AI42" s="4"/>
      <c r="AJ42" s="4"/>
      <c r="AL42" s="87">
        <f t="shared" ref="AL42:AL47" si="3">IF(AF42=0,0,1)</f>
        <v>0</v>
      </c>
      <c r="AM42" s="87">
        <f t="shared" ref="AM42:AM47" si="4">IF(ISBLANK(AF42),0,1)</f>
        <v>0</v>
      </c>
      <c r="AW42" s="21" t="s">
        <v>388</v>
      </c>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row>
    <row r="43" spans="2:88" ht="14.55" customHeight="1" x14ac:dyDescent="0.3">
      <c r="D43" s="212"/>
      <c r="E43" s="212"/>
      <c r="F43" s="184">
        <f>Tables!$F$17</f>
        <v>7.68</v>
      </c>
      <c r="G43" s="184"/>
      <c r="H43" s="25"/>
      <c r="J43" s="2" t="str">
        <f>Tables!$D$17</f>
        <v>(5-yr)</v>
      </c>
      <c r="K43" s="2"/>
      <c r="L43" s="183"/>
      <c r="M43" s="183"/>
      <c r="N43" s="183"/>
      <c r="P43" s="178"/>
      <c r="Q43" s="178"/>
      <c r="R43" s="178"/>
      <c r="S43" s="4"/>
      <c r="T43" s="178"/>
      <c r="U43" s="178"/>
      <c r="V43" s="178"/>
      <c r="W43" s="4"/>
      <c r="X43" s="178"/>
      <c r="Y43" s="178"/>
      <c r="Z43" s="178"/>
      <c r="AB43" s="178"/>
      <c r="AC43" s="178"/>
      <c r="AD43" s="178"/>
      <c r="AE43" s="4"/>
      <c r="AF43" s="178"/>
      <c r="AG43" s="178"/>
      <c r="AH43" s="178"/>
      <c r="AI43" s="4"/>
      <c r="AJ43" s="4"/>
      <c r="AL43" s="87">
        <f t="shared" si="3"/>
        <v>0</v>
      </c>
      <c r="AM43" s="87">
        <f t="shared" si="4"/>
        <v>0</v>
      </c>
      <c r="AW43" s="21" t="s">
        <v>389</v>
      </c>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row>
    <row r="44" spans="2:88" ht="14.55" customHeight="1" x14ac:dyDescent="0.3">
      <c r="D44" s="212"/>
      <c r="E44" s="212"/>
      <c r="F44" s="184">
        <f>Tables!$F$18</f>
        <v>9.26</v>
      </c>
      <c r="G44" s="184"/>
      <c r="H44" s="25"/>
      <c r="J44" s="2" t="str">
        <f>Tables!$D$18</f>
        <v>(10-yr)</v>
      </c>
      <c r="K44" s="2"/>
      <c r="L44" s="183"/>
      <c r="M44" s="183"/>
      <c r="N44" s="183"/>
      <c r="P44" s="178"/>
      <c r="Q44" s="178"/>
      <c r="R44" s="178"/>
      <c r="S44" s="4"/>
      <c r="T44" s="178"/>
      <c r="U44" s="178"/>
      <c r="V44" s="178"/>
      <c r="W44" s="4"/>
      <c r="X44" s="178"/>
      <c r="Y44" s="178"/>
      <c r="Z44" s="178"/>
      <c r="AB44" s="178"/>
      <c r="AC44" s="178"/>
      <c r="AD44" s="178"/>
      <c r="AE44" s="4"/>
      <c r="AF44" s="178"/>
      <c r="AG44" s="178"/>
      <c r="AH44" s="178"/>
      <c r="AI44" s="4"/>
      <c r="AJ44" s="4"/>
      <c r="AL44" s="87">
        <f t="shared" si="3"/>
        <v>0</v>
      </c>
      <c r="AM44" s="87">
        <f t="shared" si="4"/>
        <v>0</v>
      </c>
      <c r="AV44" s="16"/>
      <c r="AW44" s="21" t="s">
        <v>390</v>
      </c>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row>
    <row r="45" spans="2:88" ht="14.55" customHeight="1" x14ac:dyDescent="0.3">
      <c r="D45" s="212"/>
      <c r="E45" s="212"/>
      <c r="F45" s="184">
        <f>Tables!$F$19</f>
        <v>11.7</v>
      </c>
      <c r="G45" s="184"/>
      <c r="H45" s="25"/>
      <c r="J45" s="2" t="str">
        <f>Tables!$D$19</f>
        <v>(25-yr)</v>
      </c>
      <c r="K45" s="2"/>
      <c r="L45" s="183"/>
      <c r="M45" s="183"/>
      <c r="N45" s="183"/>
      <c r="P45" s="178"/>
      <c r="Q45" s="178"/>
      <c r="R45" s="178"/>
      <c r="S45" s="4"/>
      <c r="T45" s="178"/>
      <c r="U45" s="178"/>
      <c r="V45" s="178"/>
      <c r="W45" s="4"/>
      <c r="X45" s="178"/>
      <c r="Y45" s="178"/>
      <c r="Z45" s="178"/>
      <c r="AB45" s="178"/>
      <c r="AC45" s="178"/>
      <c r="AD45" s="178"/>
      <c r="AE45" s="4"/>
      <c r="AF45" s="178"/>
      <c r="AG45" s="178"/>
      <c r="AH45" s="178"/>
      <c r="AI45" s="4"/>
      <c r="AJ45" s="4"/>
      <c r="AL45" s="87">
        <f t="shared" si="3"/>
        <v>0</v>
      </c>
      <c r="AM45" s="87">
        <f t="shared" si="4"/>
        <v>0</v>
      </c>
      <c r="AV45" s="16">
        <f>AV41+1</f>
        <v>12</v>
      </c>
      <c r="AW45" s="21" t="s">
        <v>279</v>
      </c>
      <c r="AZ45" s="20"/>
      <c r="BA45" s="20"/>
    </row>
    <row r="46" spans="2:88" ht="14.55" customHeight="1" x14ac:dyDescent="0.3">
      <c r="D46" s="212"/>
      <c r="E46" s="212"/>
      <c r="F46" s="184">
        <f>Tables!$F$20</f>
        <v>13.9</v>
      </c>
      <c r="G46" s="184"/>
      <c r="H46" s="25"/>
      <c r="J46" s="2" t="str">
        <f>Tables!$D$20</f>
        <v>(50-yr)</v>
      </c>
      <c r="K46" s="2"/>
      <c r="L46" s="183"/>
      <c r="M46" s="183"/>
      <c r="N46" s="183"/>
      <c r="P46" s="178"/>
      <c r="Q46" s="178"/>
      <c r="R46" s="178"/>
      <c r="S46" s="4"/>
      <c r="T46" s="178"/>
      <c r="U46" s="178"/>
      <c r="V46" s="178"/>
      <c r="W46" s="4"/>
      <c r="X46" s="178"/>
      <c r="Y46" s="178"/>
      <c r="Z46" s="178"/>
      <c r="AB46" s="178"/>
      <c r="AC46" s="178"/>
      <c r="AD46" s="178"/>
      <c r="AE46" s="4"/>
      <c r="AF46" s="178"/>
      <c r="AG46" s="178"/>
      <c r="AH46" s="178"/>
      <c r="AI46" s="4"/>
      <c r="AJ46" s="4"/>
      <c r="AL46" s="87">
        <f t="shared" si="3"/>
        <v>0</v>
      </c>
      <c r="AM46" s="87">
        <f t="shared" si="4"/>
        <v>0</v>
      </c>
      <c r="AV46" s="16">
        <f>AV45+1</f>
        <v>13</v>
      </c>
      <c r="AW46" s="21" t="s">
        <v>287</v>
      </c>
      <c r="AZ46" s="20"/>
      <c r="BA46" s="20"/>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row>
    <row r="47" spans="2:88" ht="14.55" customHeight="1" x14ac:dyDescent="0.3">
      <c r="D47" s="212"/>
      <c r="E47" s="212"/>
      <c r="F47" s="184">
        <f>Tables!$F$21</f>
        <v>16.3</v>
      </c>
      <c r="G47" s="184"/>
      <c r="H47" s="25"/>
      <c r="J47" s="2" t="str">
        <f>Tables!$D$21</f>
        <v>(100-yr)</v>
      </c>
      <c r="K47" s="2"/>
      <c r="L47" s="183"/>
      <c r="M47" s="183"/>
      <c r="N47" s="183"/>
      <c r="P47" s="178"/>
      <c r="Q47" s="178"/>
      <c r="R47" s="178"/>
      <c r="S47" s="4"/>
      <c r="T47" s="178"/>
      <c r="U47" s="178"/>
      <c r="V47" s="178"/>
      <c r="W47" s="4"/>
      <c r="X47" s="178"/>
      <c r="Y47" s="178"/>
      <c r="Z47" s="178"/>
      <c r="AB47" s="178"/>
      <c r="AC47" s="178"/>
      <c r="AD47" s="178"/>
      <c r="AE47" s="4"/>
      <c r="AF47" s="178"/>
      <c r="AG47" s="178"/>
      <c r="AH47" s="178"/>
      <c r="AI47" s="4"/>
      <c r="AJ47" s="4"/>
      <c r="AL47" s="87">
        <f t="shared" si="3"/>
        <v>0</v>
      </c>
      <c r="AM47" s="87">
        <f t="shared" si="4"/>
        <v>0</v>
      </c>
      <c r="AW47" s="4" t="s">
        <v>90</v>
      </c>
      <c r="AX47" s="21" t="s">
        <v>288</v>
      </c>
      <c r="AZ47" s="62"/>
      <c r="BA47" s="20"/>
    </row>
    <row r="48" spans="2:88" ht="15" customHeight="1" x14ac:dyDescent="0.3">
      <c r="AK48" s="25"/>
      <c r="AW48" s="4" t="s">
        <v>91</v>
      </c>
      <c r="AX48" s="21" t="s">
        <v>289</v>
      </c>
      <c r="BA48" s="20"/>
    </row>
    <row r="49" spans="2:88" ht="15" customHeight="1" x14ac:dyDescent="0.3">
      <c r="B49" s="1" t="s">
        <v>531</v>
      </c>
      <c r="AW49" s="4" t="s">
        <v>103</v>
      </c>
      <c r="AX49" s="21" t="s">
        <v>290</v>
      </c>
      <c r="AY49" s="20"/>
      <c r="BA49" s="20"/>
    </row>
    <row r="50" spans="2:88" ht="4.95" customHeight="1" x14ac:dyDescent="0.3">
      <c r="AY50" s="20"/>
      <c r="BA50" s="20"/>
    </row>
    <row r="51" spans="2:88" ht="15" customHeight="1" x14ac:dyDescent="0.3">
      <c r="C51" s="162"/>
      <c r="D51" s="21" t="s">
        <v>117</v>
      </c>
      <c r="F51" s="162"/>
      <c r="G51" s="21" t="s">
        <v>118</v>
      </c>
      <c r="H51" s="4"/>
      <c r="I51" s="21" t="s">
        <v>533</v>
      </c>
      <c r="V51" s="2"/>
      <c r="W51" s="104"/>
      <c r="Z51" s="104"/>
      <c r="AL51" s="87">
        <f>IF(AND(ISBLANK(C51),ISBLANK(F51)),1,2)</f>
        <v>1</v>
      </c>
      <c r="AW51" s="4" t="s">
        <v>105</v>
      </c>
      <c r="AX51" s="21" t="s">
        <v>291</v>
      </c>
      <c r="AZ51" s="20"/>
      <c r="BA51" s="20"/>
    </row>
    <row r="52" spans="2:88" ht="15" customHeight="1" x14ac:dyDescent="0.3">
      <c r="I52" s="21" t="s">
        <v>532</v>
      </c>
      <c r="J52" s="2"/>
      <c r="K52" s="104"/>
      <c r="N52" s="104"/>
      <c r="V52" s="2"/>
      <c r="W52" s="104"/>
      <c r="Z52" s="104"/>
      <c r="AW52" s="4" t="s">
        <v>284</v>
      </c>
      <c r="AX52" s="21" t="s">
        <v>292</v>
      </c>
      <c r="AZ52" s="20"/>
      <c r="BA52" s="20"/>
    </row>
    <row r="53" spans="2:88" ht="15" customHeight="1" x14ac:dyDescent="0.3">
      <c r="B53" s="200">
        <f>Tables!$F$13</f>
        <v>46266</v>
      </c>
      <c r="C53" s="200"/>
      <c r="D53" s="200"/>
      <c r="E53" s="200"/>
      <c r="F53" s="200"/>
      <c r="G53" s="200"/>
      <c r="H53" s="200"/>
      <c r="R53" s="186" t="s">
        <v>219</v>
      </c>
      <c r="S53" s="186"/>
      <c r="T53" s="186"/>
      <c r="U53" s="186"/>
      <c r="AK53" s="25"/>
      <c r="AW53" s="4" t="s">
        <v>293</v>
      </c>
      <c r="AX53" s="21" t="s">
        <v>294</v>
      </c>
      <c r="AY53" s="20"/>
      <c r="AZ53" s="20"/>
      <c r="BA53" s="20"/>
    </row>
    <row r="54" spans="2:88" ht="15" customHeight="1" x14ac:dyDescent="0.3">
      <c r="C54" s="2" t="s">
        <v>128</v>
      </c>
      <c r="D54" s="199">
        <f>IF(ISBLANK($E$7),0,$E$7)</f>
        <v>0</v>
      </c>
      <c r="E54" s="199"/>
      <c r="F54" s="199"/>
      <c r="G54" s="199"/>
      <c r="H54" s="199"/>
      <c r="I54" s="199"/>
      <c r="J54" s="199"/>
      <c r="K54" s="199"/>
      <c r="L54" s="199"/>
      <c r="M54" s="199"/>
      <c r="N54" s="199"/>
      <c r="O54" s="199"/>
      <c r="P54" s="199"/>
      <c r="Q54" s="199"/>
      <c r="R54" s="199"/>
      <c r="S54" s="199"/>
      <c r="T54" s="199"/>
      <c r="U54" s="199"/>
      <c r="V54" s="199"/>
      <c r="W54" s="199"/>
      <c r="X54" s="199"/>
      <c r="Y54" s="199"/>
      <c r="AD54" s="2" t="s">
        <v>19</v>
      </c>
      <c r="AE54" s="179">
        <f>IF(ISBLANK($AE$7),0,$AE$7)</f>
        <v>0</v>
      </c>
      <c r="AF54" s="179"/>
      <c r="AG54" s="179"/>
      <c r="AH54" s="179"/>
      <c r="AI54" s="179"/>
      <c r="AJ54" s="179"/>
      <c r="AV54" s="16">
        <f>AV46+1</f>
        <v>14</v>
      </c>
      <c r="AW54" s="21" t="s">
        <v>391</v>
      </c>
      <c r="AY54" s="20"/>
      <c r="AZ54" s="20"/>
      <c r="BA54" s="20"/>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row>
    <row r="55" spans="2:88" ht="15" customHeight="1" x14ac:dyDescent="0.3">
      <c r="B55" s="2"/>
      <c r="C55" s="2"/>
      <c r="D55" s="2"/>
      <c r="E55" s="2"/>
      <c r="F55" s="2"/>
      <c r="G55" s="2"/>
      <c r="H55" s="2"/>
      <c r="I55" s="2"/>
      <c r="J55" s="2"/>
      <c r="K55" s="2"/>
      <c r="L55" s="2"/>
      <c r="M55" s="2"/>
      <c r="N55" s="2"/>
      <c r="O55" s="2"/>
      <c r="P55" s="2"/>
      <c r="Q55" s="2"/>
      <c r="R55" s="2"/>
      <c r="S55" s="2"/>
      <c r="T55" s="2"/>
      <c r="U55" s="2"/>
      <c r="V55" s="2"/>
      <c r="W55" s="2"/>
      <c r="X55" s="2"/>
      <c r="Y55" s="2"/>
      <c r="Z55" s="2"/>
      <c r="AD55" s="2" t="s">
        <v>32</v>
      </c>
      <c r="AE55" s="187">
        <f>IF(ISBLANK($AE$8),0,$AE$8)</f>
        <v>0</v>
      </c>
      <c r="AF55" s="187"/>
      <c r="AG55" s="187"/>
      <c r="AH55" s="187"/>
      <c r="AI55" s="187"/>
      <c r="AJ55" s="187"/>
      <c r="AK55" s="2"/>
      <c r="AL55" s="60"/>
      <c r="AM55" s="60"/>
      <c r="AN55" s="60"/>
      <c r="AO55" s="60"/>
      <c r="AP55" s="60"/>
      <c r="AQ55" s="60"/>
      <c r="AR55" s="60"/>
      <c r="AS55" s="60"/>
      <c r="AT55" s="60"/>
      <c r="AU55" s="2"/>
      <c r="AV55" s="16">
        <f>AV54+1</f>
        <v>15</v>
      </c>
      <c r="AW55" s="21" t="s">
        <v>392</v>
      </c>
      <c r="AY55" s="20"/>
      <c r="AZ55" s="20"/>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row>
    <row r="56" spans="2:88" ht="15" customHeight="1" x14ac:dyDescent="0.3">
      <c r="B56" s="1" t="s">
        <v>153</v>
      </c>
      <c r="C56" s="1"/>
      <c r="D56" s="1"/>
      <c r="E56" s="1"/>
      <c r="F56" s="1"/>
      <c r="G56" s="1"/>
      <c r="H56" s="1"/>
      <c r="K56" s="2"/>
      <c r="L56" s="2"/>
      <c r="M56" s="2" t="s">
        <v>161</v>
      </c>
      <c r="N56" s="162"/>
      <c r="O56" s="13" t="s">
        <v>156</v>
      </c>
      <c r="P56" s="13"/>
      <c r="S56" s="162"/>
      <c r="T56" s="13" t="s">
        <v>166</v>
      </c>
      <c r="AF56" s="2"/>
      <c r="AG56" s="2"/>
      <c r="AH56" s="2"/>
      <c r="AI56" s="2"/>
      <c r="AJ56" s="2"/>
      <c r="AK56" s="2"/>
      <c r="AL56" s="87">
        <f>IF(AND(ISBLANK(N56),ISBLANK(S56)),1,2)</f>
        <v>1</v>
      </c>
      <c r="AM56" s="87">
        <f>IF(ISBLANK(N56),0,1)</f>
        <v>0</v>
      </c>
      <c r="AN56" s="60"/>
      <c r="AO56" s="60"/>
      <c r="AP56" s="60"/>
      <c r="AQ56" s="60"/>
      <c r="AR56" s="60"/>
      <c r="AS56" s="60"/>
      <c r="AT56" s="60"/>
      <c r="AU56" s="2"/>
      <c r="AV56" s="16">
        <f>AV55+1</f>
        <v>16</v>
      </c>
      <c r="AW56" s="21" t="s">
        <v>539</v>
      </c>
      <c r="AY56" s="20"/>
      <c r="AZ56" s="20"/>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row>
    <row r="57" spans="2:88" ht="15" customHeight="1" x14ac:dyDescent="0.3">
      <c r="D57" s="2"/>
      <c r="F57" s="2"/>
      <c r="G57" s="2" t="s">
        <v>155</v>
      </c>
      <c r="H57" s="180"/>
      <c r="I57" s="180"/>
      <c r="J57" s="180"/>
      <c r="K57" s="13" t="s">
        <v>39</v>
      </c>
      <c r="L57" s="24"/>
      <c r="M57" s="24"/>
      <c r="O57" s="2"/>
      <c r="P57" s="2"/>
      <c r="Q57" s="2"/>
      <c r="T57" s="2" t="s">
        <v>157</v>
      </c>
      <c r="U57" s="183"/>
      <c r="V57" s="183"/>
      <c r="W57" s="183"/>
      <c r="X57" s="183"/>
      <c r="Y57" s="13" t="s">
        <v>39</v>
      </c>
      <c r="AB57" s="2"/>
      <c r="AC57" s="2"/>
      <c r="AD57" s="2"/>
      <c r="AK57" s="2"/>
      <c r="AL57" s="60"/>
      <c r="AM57" s="87">
        <f>IF(ISBLANK(S56),0,2)</f>
        <v>0</v>
      </c>
      <c r="AN57" s="60"/>
      <c r="AO57" s="60"/>
      <c r="AP57" s="60"/>
      <c r="AQ57" s="60"/>
      <c r="AR57" s="60"/>
      <c r="AS57" s="60"/>
      <c r="AT57" s="60"/>
      <c r="AU57" s="2"/>
      <c r="AV57" s="101" t="s">
        <v>167</v>
      </c>
      <c r="AZ57" s="20"/>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row>
    <row r="58" spans="2:88" ht="15" customHeight="1" x14ac:dyDescent="0.3">
      <c r="D58" s="2"/>
      <c r="F58" s="2"/>
      <c r="G58" s="2" t="s">
        <v>197</v>
      </c>
      <c r="H58" s="182"/>
      <c r="I58" s="182"/>
      <c r="J58" s="182"/>
      <c r="K58" s="13" t="s">
        <v>39</v>
      </c>
      <c r="L58" s="24"/>
      <c r="M58" s="24"/>
      <c r="O58" s="2"/>
      <c r="P58" s="2"/>
      <c r="Q58" s="2"/>
      <c r="T58" s="2" t="s">
        <v>158</v>
      </c>
      <c r="U58" s="175"/>
      <c r="V58" s="175"/>
      <c r="W58" s="175"/>
      <c r="X58" s="175"/>
      <c r="Y58" s="177" t="str">
        <f>IF($AM$58=0,"Units?",IF($AM$58=1,"ac",IF($AM$58=2,"sq-ft","Error")))</f>
        <v>Units?</v>
      </c>
      <c r="Z58" s="177"/>
      <c r="AB58" s="2"/>
      <c r="AC58" s="2"/>
      <c r="AD58" s="2"/>
      <c r="AE58" s="2"/>
      <c r="AF58" s="2"/>
      <c r="AG58" s="2"/>
      <c r="AH58" s="2"/>
      <c r="AI58" s="2"/>
      <c r="AJ58" s="2"/>
      <c r="AK58" s="2"/>
      <c r="AL58" s="60"/>
      <c r="AM58" s="87">
        <f>SUM(AM56:AM57)</f>
        <v>0</v>
      </c>
      <c r="AN58" s="14" t="s">
        <v>323</v>
      </c>
      <c r="AQ58" s="60"/>
      <c r="AR58" s="60"/>
      <c r="AS58" s="60"/>
      <c r="AT58" s="60"/>
      <c r="AU58" s="2"/>
      <c r="AV58" s="16">
        <v>1</v>
      </c>
      <c r="AW58" s="21" t="s">
        <v>168</v>
      </c>
      <c r="AZ58" s="20"/>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row>
    <row r="59" spans="2:88" ht="15" customHeight="1" x14ac:dyDescent="0.3">
      <c r="D59" s="2"/>
      <c r="F59" s="2"/>
      <c r="G59" s="2" t="s">
        <v>154</v>
      </c>
      <c r="H59" s="182"/>
      <c r="I59" s="182"/>
      <c r="J59" s="182"/>
      <c r="K59" s="13" t="s">
        <v>39</v>
      </c>
      <c r="L59" s="24"/>
      <c r="M59" s="24"/>
      <c r="O59" s="2"/>
      <c r="P59" s="2"/>
      <c r="Q59" s="2"/>
      <c r="T59" s="2" t="s">
        <v>159</v>
      </c>
      <c r="U59" s="175"/>
      <c r="V59" s="175"/>
      <c r="W59" s="175"/>
      <c r="X59" s="175"/>
      <c r="Y59" s="177" t="str">
        <f>IF($AM$58=0,"Units?",IF($AM$58=1,"ac-ft",IF($AM$58=2,"cu-ft","Error")))</f>
        <v>Units?</v>
      </c>
      <c r="Z59" s="177"/>
      <c r="AB59" s="2"/>
      <c r="AC59" s="2"/>
      <c r="AD59" s="2"/>
      <c r="AE59" s="2" t="s">
        <v>164</v>
      </c>
      <c r="AF59" s="162"/>
      <c r="AG59" s="21" t="s">
        <v>117</v>
      </c>
      <c r="AH59" s="2"/>
      <c r="AI59" s="162"/>
      <c r="AJ59" s="21" t="s">
        <v>118</v>
      </c>
      <c r="AK59" s="2"/>
      <c r="AL59" s="87">
        <f>IF(AND(ISBLANK(AF59),ISBLANK(AI59)),1,2)</f>
        <v>1</v>
      </c>
      <c r="AM59" s="87">
        <f>IF(AND(ISBLANK(AF61),ISBLANK(AI61)),1,2)</f>
        <v>1</v>
      </c>
      <c r="AN59" s="60"/>
      <c r="AO59" s="60"/>
      <c r="AP59" s="60"/>
      <c r="AQ59" s="60"/>
      <c r="AR59" s="60"/>
      <c r="AS59" s="60"/>
      <c r="AT59" s="60"/>
      <c r="AU59" s="2"/>
      <c r="AV59" s="16">
        <v>2</v>
      </c>
      <c r="AW59" s="21" t="s">
        <v>250</v>
      </c>
      <c r="AZ59" s="20"/>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row>
    <row r="60" spans="2:88" ht="4.95" customHeight="1" x14ac:dyDescent="0.3">
      <c r="D60" s="2"/>
      <c r="F60" s="2"/>
      <c r="G60" s="2"/>
      <c r="H60" s="2"/>
      <c r="I60" s="4"/>
      <c r="J60" s="4"/>
      <c r="K60" s="4"/>
      <c r="L60" s="4"/>
      <c r="M60" s="4"/>
      <c r="N60" s="13"/>
      <c r="O60" s="2"/>
      <c r="P60" s="2"/>
      <c r="Q60" s="2"/>
      <c r="T60" s="2"/>
      <c r="U60" s="2"/>
      <c r="V60" s="2"/>
      <c r="W60" s="63"/>
      <c r="X60" s="63"/>
      <c r="Y60" s="64"/>
      <c r="AA60" s="13"/>
      <c r="AB60" s="2"/>
      <c r="AC60" s="2"/>
      <c r="AD60" s="2"/>
      <c r="AE60" s="2"/>
      <c r="AF60" s="2"/>
      <c r="AG60" s="2"/>
      <c r="AH60" s="2"/>
      <c r="AI60" s="2"/>
      <c r="AJ60" s="2"/>
      <c r="AK60" s="2"/>
      <c r="AL60" s="60"/>
      <c r="AM60" s="60"/>
      <c r="AN60" s="60"/>
      <c r="AO60" s="60"/>
      <c r="AP60" s="60"/>
      <c r="AQ60" s="60"/>
      <c r="AR60" s="60"/>
      <c r="AS60" s="60"/>
      <c r="AT60" s="60"/>
      <c r="AU60" s="2"/>
      <c r="BA60" s="19"/>
    </row>
    <row r="61" spans="2:88" ht="15" customHeight="1" x14ac:dyDescent="0.3">
      <c r="B61" s="2"/>
      <c r="D61" s="2"/>
      <c r="F61" s="2"/>
      <c r="G61" s="2" t="s">
        <v>173</v>
      </c>
      <c r="H61" s="162"/>
      <c r="I61" s="21" t="s">
        <v>117</v>
      </c>
      <c r="L61" s="162"/>
      <c r="M61" s="21" t="s">
        <v>118</v>
      </c>
      <c r="Q61" s="2"/>
      <c r="T61" s="2" t="s">
        <v>160</v>
      </c>
      <c r="U61" s="176"/>
      <c r="V61" s="176"/>
      <c r="W61" s="176"/>
      <c r="X61" s="176"/>
      <c r="Y61" s="177" t="str">
        <f>IF($AM$58=0,"Units?",IF($AM$58=1,"ac-ft",IF($AM$58=2,"cu-ft","Error")))</f>
        <v>Units?</v>
      </c>
      <c r="Z61" s="177"/>
      <c r="AB61" s="2"/>
      <c r="AC61" s="2"/>
      <c r="AE61" s="2" t="s">
        <v>165</v>
      </c>
      <c r="AF61" s="162"/>
      <c r="AG61" s="21" t="s">
        <v>117</v>
      </c>
      <c r="AI61" s="162"/>
      <c r="AJ61" s="21" t="s">
        <v>118</v>
      </c>
      <c r="AK61" s="2"/>
      <c r="AL61" s="87">
        <f>IF(ISBLANK(H61),0,1)</f>
        <v>0</v>
      </c>
      <c r="AM61" s="87">
        <f>IF(AND(ISBLANK(H61),ISBLANK(L61)),1,2)</f>
        <v>1</v>
      </c>
      <c r="AN61" s="60"/>
      <c r="AO61" s="60"/>
      <c r="AP61" s="60"/>
      <c r="AQ61" s="60"/>
      <c r="AR61" s="60"/>
      <c r="AS61" s="60"/>
      <c r="AT61" s="60"/>
      <c r="AU61" s="13"/>
      <c r="AW61" s="21" t="s">
        <v>251</v>
      </c>
      <c r="AZ61" s="19"/>
      <c r="BA61" s="19"/>
    </row>
    <row r="62" spans="2:88" ht="15" customHeight="1" x14ac:dyDescent="0.3">
      <c r="B62" s="1" t="s">
        <v>385</v>
      </c>
      <c r="C62" s="1"/>
      <c r="D62" s="1"/>
      <c r="E62" s="1"/>
      <c r="F62" s="1"/>
      <c r="G62" s="1"/>
      <c r="H62" s="1"/>
      <c r="I62" s="1"/>
      <c r="J62" s="2"/>
      <c r="K62" s="2"/>
      <c r="L62" s="2"/>
      <c r="M62" s="2"/>
      <c r="N62" s="34"/>
      <c r="O62" s="33"/>
      <c r="P62" s="33"/>
      <c r="Q62" s="33"/>
      <c r="R62" s="33"/>
      <c r="S62" s="33"/>
      <c r="T62" s="33"/>
      <c r="U62" s="33"/>
      <c r="V62" s="33"/>
      <c r="W62" s="33"/>
      <c r="X62" s="33"/>
      <c r="Y62" s="33"/>
      <c r="Z62" s="33"/>
      <c r="AV62" s="16">
        <v>3</v>
      </c>
      <c r="AW62" s="21" t="s">
        <v>169</v>
      </c>
      <c r="AY62" s="19"/>
      <c r="BA62" s="19"/>
    </row>
    <row r="63" spans="2:88" ht="15" customHeight="1" x14ac:dyDescent="0.3">
      <c r="E63" s="2" t="s">
        <v>182</v>
      </c>
      <c r="F63" s="201"/>
      <c r="G63" s="201"/>
      <c r="H63" s="201"/>
      <c r="I63" s="201"/>
      <c r="J63" s="65"/>
      <c r="K63" s="65"/>
      <c r="L63" s="65"/>
      <c r="O63" s="2" t="s">
        <v>183</v>
      </c>
      <c r="P63" s="201"/>
      <c r="Q63" s="201"/>
      <c r="R63" s="201"/>
      <c r="AC63" s="2"/>
      <c r="AE63" s="2" t="s">
        <v>136</v>
      </c>
      <c r="AF63" s="162"/>
      <c r="AG63" s="21" t="s">
        <v>117</v>
      </c>
      <c r="AI63" s="162"/>
      <c r="AJ63" s="21" t="s">
        <v>118</v>
      </c>
      <c r="AL63" s="87">
        <f>IF(AND(ISBLANK(AF63),ISBLANK(AI63)),1,2)</f>
        <v>1</v>
      </c>
      <c r="AM63" s="87">
        <f>IF(ISBLANK(AI63),1,2)</f>
        <v>1</v>
      </c>
      <c r="AV63" s="16">
        <v>4</v>
      </c>
      <c r="AW63" s="21" t="s">
        <v>252</v>
      </c>
      <c r="BA63" s="19"/>
    </row>
    <row r="64" spans="2:88" ht="15" customHeight="1" x14ac:dyDescent="0.3">
      <c r="E64" s="2" t="s">
        <v>181</v>
      </c>
      <c r="F64" s="182"/>
      <c r="G64" s="182"/>
      <c r="H64" s="182"/>
      <c r="I64" s="182"/>
      <c r="J64" s="21" t="s">
        <v>39</v>
      </c>
      <c r="K64" s="25"/>
      <c r="AL64" s="87">
        <f>IF(ISBLANK(F64),1,2)</f>
        <v>1</v>
      </c>
      <c r="AV64" s="16"/>
      <c r="AW64" s="21" t="s">
        <v>253</v>
      </c>
    </row>
    <row r="65" spans="3:43" ht="15" customHeight="1" x14ac:dyDescent="0.3">
      <c r="E65" s="2" t="s">
        <v>180</v>
      </c>
      <c r="F65" s="182"/>
      <c r="G65" s="182"/>
      <c r="H65" s="182"/>
      <c r="I65" s="182"/>
      <c r="J65" s="21" t="s">
        <v>39</v>
      </c>
      <c r="K65" s="25"/>
      <c r="O65" s="2" t="s">
        <v>40</v>
      </c>
      <c r="P65" s="180"/>
      <c r="Q65" s="180"/>
      <c r="R65" s="180"/>
      <c r="S65" s="21" t="s">
        <v>39</v>
      </c>
      <c r="AE65" s="2" t="s">
        <v>163</v>
      </c>
      <c r="AF65" s="162"/>
      <c r="AG65" s="21" t="s">
        <v>117</v>
      </c>
      <c r="AI65" s="162"/>
      <c r="AJ65" s="21" t="s">
        <v>118</v>
      </c>
      <c r="AL65" s="87">
        <f>IF(AND(ISBLANK(F65),ISBLANK(P65)),1,2)</f>
        <v>1</v>
      </c>
      <c r="AM65" s="87">
        <f>IF(AND(ISBLANK(AF65),ISBLANK(AI65)),1,2)</f>
        <v>1</v>
      </c>
    </row>
    <row r="66" spans="3:43" ht="4.95" customHeight="1" x14ac:dyDescent="0.3"/>
    <row r="67" spans="3:43" ht="15" customHeight="1" x14ac:dyDescent="0.3">
      <c r="E67" s="2" t="s">
        <v>171</v>
      </c>
      <c r="F67" s="180"/>
      <c r="G67" s="180"/>
      <c r="H67" s="180"/>
      <c r="I67" s="180"/>
      <c r="J67" s="21" t="s">
        <v>39</v>
      </c>
      <c r="K67" s="25"/>
      <c r="O67" s="2" t="s">
        <v>41</v>
      </c>
      <c r="P67" s="180"/>
      <c r="Q67" s="180"/>
      <c r="R67" s="180"/>
      <c r="S67" s="21" t="s">
        <v>39</v>
      </c>
      <c r="AC67" s="2"/>
      <c r="AE67" s="2" t="s">
        <v>162</v>
      </c>
      <c r="AF67" s="162"/>
      <c r="AG67" s="21" t="s">
        <v>117</v>
      </c>
      <c r="AI67" s="162"/>
      <c r="AJ67" s="21" t="s">
        <v>118</v>
      </c>
      <c r="AL67" s="87">
        <f>IF(AND(ISBLANK(AF67),ISBLANK(AI67)),1,2)</f>
        <v>1</v>
      </c>
    </row>
    <row r="68" spans="3:43" ht="15" customHeight="1" x14ac:dyDescent="0.3">
      <c r="F68" s="186" t="s">
        <v>31</v>
      </c>
      <c r="G68" s="186"/>
      <c r="H68" s="186"/>
      <c r="I68" s="186"/>
      <c r="J68" s="25"/>
      <c r="K68" s="25"/>
      <c r="L68" s="4" t="s">
        <v>517</v>
      </c>
      <c r="N68" s="4"/>
      <c r="O68" s="4"/>
      <c r="P68" s="4"/>
      <c r="Q68" s="4" t="s">
        <v>518</v>
      </c>
      <c r="S68" s="4"/>
      <c r="V68" s="4" t="s">
        <v>37</v>
      </c>
      <c r="AA68" s="4" t="s">
        <v>73</v>
      </c>
      <c r="AB68" s="4"/>
      <c r="AC68" s="4"/>
      <c r="AF68" s="4" t="s">
        <v>330</v>
      </c>
      <c r="AG68" s="4"/>
      <c r="AH68" s="4"/>
    </row>
    <row r="69" spans="3:43" ht="15" customHeight="1" x14ac:dyDescent="0.3">
      <c r="E69" s="2" t="s">
        <v>178</v>
      </c>
      <c r="F69" s="201"/>
      <c r="G69" s="201"/>
      <c r="H69" s="201"/>
      <c r="I69" s="201"/>
      <c r="J69" s="25"/>
      <c r="K69" s="180"/>
      <c r="L69" s="180"/>
      <c r="M69" s="180"/>
      <c r="N69" s="21" t="s">
        <v>38</v>
      </c>
      <c r="O69" s="4"/>
      <c r="P69" s="180"/>
      <c r="Q69" s="180"/>
      <c r="R69" s="180"/>
      <c r="S69" s="21" t="s">
        <v>38</v>
      </c>
      <c r="U69" s="180"/>
      <c r="V69" s="180"/>
      <c r="W69" s="180"/>
      <c r="X69" s="21" t="s">
        <v>39</v>
      </c>
      <c r="Z69" s="180"/>
      <c r="AA69" s="180"/>
      <c r="AB69" s="180"/>
      <c r="AC69" s="21" t="s">
        <v>39</v>
      </c>
      <c r="AE69" s="180"/>
      <c r="AF69" s="180"/>
      <c r="AG69" s="180"/>
      <c r="AH69" s="21" t="s">
        <v>329</v>
      </c>
      <c r="AL69" s="87">
        <f>IF(ISBLANK(F69),1,2)</f>
        <v>1</v>
      </c>
    </row>
    <row r="70" spans="3:43" ht="4.95" customHeight="1" x14ac:dyDescent="0.3">
      <c r="E70" s="2"/>
      <c r="F70" s="2"/>
      <c r="G70" s="2"/>
      <c r="H70" s="2"/>
      <c r="I70" s="2"/>
      <c r="J70" s="25"/>
      <c r="K70" s="2"/>
      <c r="L70" s="2"/>
      <c r="N70" s="2"/>
      <c r="O70" s="4"/>
      <c r="P70" s="2"/>
      <c r="S70" s="2"/>
      <c r="U70" s="2"/>
      <c r="V70" s="2"/>
      <c r="X70" s="2"/>
      <c r="Y70" s="2"/>
      <c r="Z70" s="2"/>
      <c r="AC70" s="2"/>
      <c r="AD70" s="2"/>
      <c r="AE70" s="2"/>
      <c r="AF70" s="2"/>
      <c r="AG70" s="2"/>
      <c r="AH70" s="2"/>
      <c r="AI70" s="2"/>
      <c r="AJ70" s="2"/>
    </row>
    <row r="71" spans="3:43" ht="15" customHeight="1" x14ac:dyDescent="0.3">
      <c r="E71" s="2" t="s">
        <v>177</v>
      </c>
      <c r="F71" s="201"/>
      <c r="G71" s="201"/>
      <c r="H71" s="201"/>
      <c r="I71" s="201"/>
      <c r="J71" s="25"/>
      <c r="K71" s="180"/>
      <c r="L71" s="180"/>
      <c r="M71" s="180"/>
      <c r="N71" s="21" t="str">
        <f>IF(F71="V-notch","deg","in")</f>
        <v>in</v>
      </c>
      <c r="O71" s="4"/>
      <c r="P71" s="180"/>
      <c r="Q71" s="180"/>
      <c r="R71" s="180"/>
      <c r="S71" s="21" t="s">
        <v>38</v>
      </c>
      <c r="U71" s="180"/>
      <c r="V71" s="180"/>
      <c r="W71" s="180"/>
      <c r="X71" s="21" t="s">
        <v>39</v>
      </c>
      <c r="AC71" s="2"/>
      <c r="AE71" s="2" t="s">
        <v>398</v>
      </c>
      <c r="AF71" s="162"/>
      <c r="AG71" s="21" t="s">
        <v>117</v>
      </c>
      <c r="AI71" s="162"/>
      <c r="AJ71" s="21" t="s">
        <v>118</v>
      </c>
      <c r="AL71" s="87">
        <f>IF(ISBLANK(F71),1,2)</f>
        <v>1</v>
      </c>
      <c r="AM71" s="87">
        <f>IF(AND(ISBLANK(AF71),ISBLANK(AI71)),1,2)</f>
        <v>1</v>
      </c>
      <c r="AN71" s="87">
        <f>IF(ISBLANK(AI71),1,2)</f>
        <v>1</v>
      </c>
      <c r="AO71" s="15"/>
      <c r="AP71" s="15"/>
    </row>
    <row r="72" spans="3:43" ht="4.95" customHeight="1" x14ac:dyDescent="0.3">
      <c r="E72" s="2"/>
      <c r="J72" s="25"/>
      <c r="K72" s="25"/>
      <c r="O72" s="4"/>
      <c r="P72" s="25"/>
      <c r="U72" s="25"/>
      <c r="V72" s="25"/>
    </row>
    <row r="73" spans="3:43" ht="15" customHeight="1" x14ac:dyDescent="0.3">
      <c r="C73" s="218" t="s">
        <v>201</v>
      </c>
      <c r="D73" s="218"/>
      <c r="E73" s="218"/>
      <c r="F73" s="201"/>
      <c r="G73" s="201"/>
      <c r="H73" s="201"/>
      <c r="I73" s="201"/>
      <c r="J73" s="25"/>
      <c r="K73" s="180"/>
      <c r="L73" s="180"/>
      <c r="M73" s="180"/>
      <c r="N73" s="21" t="str">
        <f>IF(F73="V-notch","deg","in")</f>
        <v>in</v>
      </c>
      <c r="O73" s="4"/>
      <c r="P73" s="180"/>
      <c r="Q73" s="180"/>
      <c r="R73" s="180"/>
      <c r="S73" s="21" t="s">
        <v>38</v>
      </c>
      <c r="U73" s="180"/>
      <c r="V73" s="180"/>
      <c r="W73" s="180"/>
      <c r="X73" s="21" t="s">
        <v>39</v>
      </c>
      <c r="AC73" s="2"/>
      <c r="AE73" s="2" t="s">
        <v>174</v>
      </c>
      <c r="AF73" s="162"/>
      <c r="AG73" s="21" t="s">
        <v>117</v>
      </c>
      <c r="AI73" s="162"/>
      <c r="AJ73" s="21" t="s">
        <v>118</v>
      </c>
      <c r="AL73" s="87">
        <f>IF(C73="None:",3,IF(OR(C73="Orifice: ",C73="Weir: "),2,1))</f>
        <v>1</v>
      </c>
      <c r="AM73" s="87">
        <f>IF(AND(ISBLANK(AF73),ISBLANK(AI73)),1,2)</f>
        <v>1</v>
      </c>
      <c r="AP73" s="15" t="s">
        <v>535</v>
      </c>
      <c r="AQ73" s="14" t="s">
        <v>538</v>
      </c>
    </row>
    <row r="74" spans="3:43" ht="4.95" customHeight="1" x14ac:dyDescent="0.3">
      <c r="J74" s="25"/>
      <c r="O74" s="4"/>
      <c r="P74" s="4"/>
      <c r="Q74" s="4"/>
      <c r="R74" s="4"/>
      <c r="S74" s="4"/>
      <c r="T74" s="4"/>
      <c r="U74" s="4"/>
      <c r="V74" s="4"/>
      <c r="W74" s="4"/>
      <c r="X74" s="4"/>
      <c r="Y74" s="4"/>
    </row>
    <row r="75" spans="3:43" ht="15" customHeight="1" x14ac:dyDescent="0.3">
      <c r="C75" s="218" t="s">
        <v>201</v>
      </c>
      <c r="D75" s="218"/>
      <c r="E75" s="218"/>
      <c r="F75" s="201"/>
      <c r="G75" s="201"/>
      <c r="H75" s="201"/>
      <c r="I75" s="201"/>
      <c r="J75" s="25"/>
      <c r="K75" s="180"/>
      <c r="L75" s="180"/>
      <c r="M75" s="180"/>
      <c r="N75" s="21" t="str">
        <f t="shared" ref="N75:N79" si="5">IF(F75="V-notch","deg","in")</f>
        <v>in</v>
      </c>
      <c r="O75" s="4"/>
      <c r="P75" s="180"/>
      <c r="Q75" s="180"/>
      <c r="R75" s="180"/>
      <c r="S75" s="21" t="s">
        <v>38</v>
      </c>
      <c r="U75" s="180"/>
      <c r="V75" s="180"/>
      <c r="W75" s="180"/>
      <c r="X75" s="21" t="s">
        <v>39</v>
      </c>
      <c r="AC75" s="2"/>
      <c r="AE75" s="2" t="s">
        <v>170</v>
      </c>
      <c r="AF75" s="162"/>
      <c r="AG75" s="21" t="s">
        <v>117</v>
      </c>
      <c r="AI75" s="162"/>
      <c r="AJ75" s="21" t="s">
        <v>118</v>
      </c>
      <c r="AL75" s="87">
        <f t="shared" ref="AL75:AL79" si="6">IF(OR(C75="Orifice: ",C75="Weir: "),2,1)</f>
        <v>1</v>
      </c>
      <c r="AM75" s="87">
        <f>IF(AND(ISBLANK(AF75),ISBLANK(AI75)),1,2)</f>
        <v>1</v>
      </c>
      <c r="AP75" s="15">
        <v>1</v>
      </c>
      <c r="AQ75" s="119">
        <v>1.5</v>
      </c>
    </row>
    <row r="76" spans="3:43" ht="15" customHeight="1" x14ac:dyDescent="0.3">
      <c r="C76" s="218" t="s">
        <v>201</v>
      </c>
      <c r="D76" s="218"/>
      <c r="E76" s="218"/>
      <c r="F76" s="201"/>
      <c r="G76" s="201"/>
      <c r="H76" s="201"/>
      <c r="I76" s="201"/>
      <c r="J76" s="25"/>
      <c r="K76" s="182"/>
      <c r="L76" s="182"/>
      <c r="M76" s="182"/>
      <c r="N76" s="21" t="str">
        <f t="shared" si="5"/>
        <v>in</v>
      </c>
      <c r="O76" s="4"/>
      <c r="P76" s="182"/>
      <c r="Q76" s="182"/>
      <c r="R76" s="182"/>
      <c r="S76" s="21" t="s">
        <v>38</v>
      </c>
      <c r="U76" s="182"/>
      <c r="V76" s="182"/>
      <c r="W76" s="182"/>
      <c r="X76" s="21" t="s">
        <v>39</v>
      </c>
      <c r="AL76" s="87">
        <f t="shared" si="6"/>
        <v>1</v>
      </c>
      <c r="AP76" s="15">
        <v>2</v>
      </c>
      <c r="AQ76" s="119">
        <v>1.5</v>
      </c>
    </row>
    <row r="77" spans="3:43" ht="15" customHeight="1" x14ac:dyDescent="0.3">
      <c r="C77" s="218" t="s">
        <v>201</v>
      </c>
      <c r="D77" s="218"/>
      <c r="E77" s="218"/>
      <c r="F77" s="201"/>
      <c r="G77" s="201"/>
      <c r="H77" s="201"/>
      <c r="I77" s="201"/>
      <c r="J77" s="25"/>
      <c r="K77" s="182"/>
      <c r="L77" s="182"/>
      <c r="M77" s="182"/>
      <c r="N77" s="21" t="str">
        <f t="shared" si="5"/>
        <v>in</v>
      </c>
      <c r="O77" s="4"/>
      <c r="P77" s="182"/>
      <c r="Q77" s="182"/>
      <c r="R77" s="182"/>
      <c r="S77" s="21" t="s">
        <v>38</v>
      </c>
      <c r="U77" s="182"/>
      <c r="V77" s="182"/>
      <c r="W77" s="182"/>
      <c r="X77" s="21" t="s">
        <v>39</v>
      </c>
      <c r="AL77" s="87">
        <f t="shared" si="6"/>
        <v>1</v>
      </c>
      <c r="AP77" s="15">
        <v>3</v>
      </c>
      <c r="AQ77" s="119">
        <v>2.7</v>
      </c>
    </row>
    <row r="78" spans="3:43" ht="15" customHeight="1" x14ac:dyDescent="0.3">
      <c r="C78" s="218" t="s">
        <v>201</v>
      </c>
      <c r="D78" s="218"/>
      <c r="E78" s="218"/>
      <c r="F78" s="201"/>
      <c r="G78" s="201"/>
      <c r="H78" s="201"/>
      <c r="I78" s="201"/>
      <c r="J78" s="25"/>
      <c r="K78" s="182"/>
      <c r="L78" s="182"/>
      <c r="M78" s="182"/>
      <c r="N78" s="21" t="str">
        <f t="shared" si="5"/>
        <v>in</v>
      </c>
      <c r="O78" s="4"/>
      <c r="P78" s="182"/>
      <c r="Q78" s="182"/>
      <c r="R78" s="182"/>
      <c r="S78" s="21" t="s">
        <v>38</v>
      </c>
      <c r="U78" s="182"/>
      <c r="V78" s="182"/>
      <c r="W78" s="182"/>
      <c r="X78" s="21" t="s">
        <v>39</v>
      </c>
      <c r="AL78" s="87">
        <f t="shared" si="6"/>
        <v>1</v>
      </c>
      <c r="AP78" s="15">
        <v>4</v>
      </c>
      <c r="AQ78" s="119">
        <v>3.5</v>
      </c>
    </row>
    <row r="79" spans="3:43" ht="15" customHeight="1" x14ac:dyDescent="0.3">
      <c r="C79" s="218" t="s">
        <v>201</v>
      </c>
      <c r="D79" s="218"/>
      <c r="E79" s="218"/>
      <c r="F79" s="201"/>
      <c r="G79" s="201"/>
      <c r="H79" s="201"/>
      <c r="I79" s="201"/>
      <c r="J79" s="25"/>
      <c r="K79" s="182"/>
      <c r="L79" s="182"/>
      <c r="M79" s="182"/>
      <c r="N79" s="21" t="str">
        <f t="shared" si="5"/>
        <v>in</v>
      </c>
      <c r="O79" s="4"/>
      <c r="P79" s="182"/>
      <c r="Q79" s="182"/>
      <c r="R79" s="182"/>
      <c r="S79" s="21" t="s">
        <v>38</v>
      </c>
      <c r="U79" s="182"/>
      <c r="V79" s="182"/>
      <c r="W79" s="182"/>
      <c r="X79" s="21" t="s">
        <v>39</v>
      </c>
      <c r="AL79" s="87">
        <f t="shared" si="6"/>
        <v>1</v>
      </c>
      <c r="AP79" s="15">
        <v>5</v>
      </c>
      <c r="AQ79" s="119">
        <v>4.2</v>
      </c>
    </row>
    <row r="80" spans="3:43" ht="4.95" customHeight="1" x14ac:dyDescent="0.3"/>
    <row r="81" spans="2:45" ht="15" customHeight="1" x14ac:dyDescent="0.3">
      <c r="B81" s="1" t="s">
        <v>426</v>
      </c>
      <c r="AE81" s="2" t="s">
        <v>530</v>
      </c>
      <c r="AF81" s="162"/>
      <c r="AG81" s="21" t="s">
        <v>117</v>
      </c>
      <c r="AI81" s="162"/>
      <c r="AJ81" s="30" t="s">
        <v>137</v>
      </c>
      <c r="AL81" s="87">
        <f>IF(AND(ISBLANK(AF81),ISBLANK(AI81)),1,2)</f>
        <v>1</v>
      </c>
      <c r="AM81" s="87">
        <f>IF(ISBLANK(AF81),1,3)</f>
        <v>1</v>
      </c>
      <c r="AQ81" s="15" t="s">
        <v>534</v>
      </c>
      <c r="AR81" s="15" t="s">
        <v>535</v>
      </c>
      <c r="AS81" s="15" t="s">
        <v>536</v>
      </c>
    </row>
    <row r="82" spans="2:45" ht="4.95" customHeight="1" x14ac:dyDescent="0.3">
      <c r="AL82" s="85"/>
      <c r="AQ82" s="15"/>
    </row>
    <row r="83" spans="2:45" ht="15" customHeight="1" x14ac:dyDescent="0.3">
      <c r="C83" s="1"/>
      <c r="D83" s="1"/>
      <c r="E83" s="2" t="s">
        <v>432</v>
      </c>
      <c r="F83" s="201"/>
      <c r="G83" s="201"/>
      <c r="H83" s="201"/>
      <c r="I83" s="201"/>
      <c r="J83" s="201"/>
      <c r="K83" s="201"/>
      <c r="L83" s="201"/>
      <c r="M83" s="201"/>
      <c r="N83" s="201"/>
      <c r="T83" s="2" t="str">
        <f>IF(AQ83="Yes","Riprap Class: ","")</f>
        <v/>
      </c>
      <c r="U83" s="208"/>
      <c r="V83" s="208"/>
      <c r="AE83" s="2" t="s">
        <v>136</v>
      </c>
      <c r="AF83" s="162"/>
      <c r="AG83" s="21" t="s">
        <v>117</v>
      </c>
      <c r="AI83" s="162"/>
      <c r="AJ83" s="30" t="s">
        <v>137</v>
      </c>
      <c r="AL83" s="87">
        <f>IF(ISBLANK(F83),1,0)</f>
        <v>1</v>
      </c>
      <c r="AM83" s="93">
        <f>SUM(AL83,AO83,AL85:AO85)</f>
        <v>6</v>
      </c>
      <c r="AN83" s="60"/>
      <c r="AO83" s="93">
        <f>IF(AND(ISBLANK(AF83),ISBLANK(AI83)),1,0)</f>
        <v>1</v>
      </c>
      <c r="AP83" s="87">
        <f>IF(ISBLANK(AI83),1,2)</f>
        <v>1</v>
      </c>
      <c r="AQ83" s="87" t="str">
        <f>IF(F83="Riprap apron","Yes","No")</f>
        <v>No</v>
      </c>
      <c r="AR83" s="87">
        <f>U83</f>
        <v>0</v>
      </c>
      <c r="AS83" s="92" t="e">
        <f>VLOOKUP(AR83,$AP$75:$AQ$79,2)</f>
        <v>#N/A</v>
      </c>
    </row>
    <row r="84" spans="2:45" ht="4.95" customHeight="1" x14ac:dyDescent="0.3">
      <c r="AN84" s="60"/>
      <c r="AO84" s="60"/>
      <c r="AP84" s="60"/>
      <c r="AQ84" s="15"/>
    </row>
    <row r="85" spans="2:45" ht="15" customHeight="1" x14ac:dyDescent="0.3">
      <c r="E85" s="2" t="s">
        <v>184</v>
      </c>
      <c r="F85" s="183"/>
      <c r="G85" s="183"/>
      <c r="H85" s="183"/>
      <c r="I85" s="21" t="s">
        <v>39</v>
      </c>
      <c r="L85" s="2" t="s">
        <v>180</v>
      </c>
      <c r="M85" s="183"/>
      <c r="N85" s="183"/>
      <c r="O85" s="183"/>
      <c r="P85" s="21" t="s">
        <v>39</v>
      </c>
      <c r="T85" s="2" t="s">
        <v>433</v>
      </c>
      <c r="U85" s="180"/>
      <c r="V85" s="180"/>
      <c r="W85" s="21" t="s">
        <v>39</v>
      </c>
      <c r="AE85" s="2" t="s">
        <v>434</v>
      </c>
      <c r="AF85" s="162"/>
      <c r="AG85" s="21" t="s">
        <v>117</v>
      </c>
      <c r="AI85" s="162"/>
      <c r="AJ85" s="30" t="s">
        <v>137</v>
      </c>
      <c r="AL85" s="87">
        <f>IF(ISBLANK(F85),1,0)</f>
        <v>1</v>
      </c>
      <c r="AM85" s="87">
        <f>IF(ISBLANK(M85),1,0)</f>
        <v>1</v>
      </c>
      <c r="AN85" s="87">
        <f>IF(ISBLANK(U85),1,0)</f>
        <v>1</v>
      </c>
      <c r="AO85" s="93">
        <f>IF(AND(ISBLANK(AF85),ISBLANK(AI85)),1,0)</f>
        <v>1</v>
      </c>
      <c r="AP85" s="87">
        <f>IF(ISBLANK(AI85),1,2)</f>
        <v>1</v>
      </c>
      <c r="AQ85" s="87">
        <f>IF(ISBLANK(U85),1,IF(U85&lt;AS83,2,3))</f>
        <v>1</v>
      </c>
    </row>
    <row r="86" spans="2:45" ht="4.95" customHeight="1" x14ac:dyDescent="0.3">
      <c r="AL86" s="85"/>
    </row>
    <row r="87" spans="2:45" ht="15" customHeight="1" x14ac:dyDescent="0.3">
      <c r="B87" s="1" t="s">
        <v>386</v>
      </c>
      <c r="C87" s="1"/>
      <c r="D87" s="1"/>
      <c r="E87" s="1"/>
      <c r="F87" s="1"/>
      <c r="G87" s="1"/>
      <c r="H87" s="1"/>
      <c r="I87" s="1"/>
      <c r="Z87" s="2"/>
      <c r="AE87" s="2" t="s">
        <v>136</v>
      </c>
      <c r="AF87" s="162"/>
      <c r="AG87" s="21" t="s">
        <v>117</v>
      </c>
      <c r="AH87" s="30"/>
      <c r="AI87" s="162"/>
      <c r="AJ87" s="30" t="s">
        <v>137</v>
      </c>
      <c r="AL87" s="93">
        <f>IF(AND(ISBLANK(AF87),ISBLANK(AI87)),1,2)</f>
        <v>1</v>
      </c>
      <c r="AM87" s="87">
        <f>SUM(AM88,AM89,AQ88,AS88,AO89,AO88)</f>
        <v>0</v>
      </c>
      <c r="AN87" s="14" t="s">
        <v>76</v>
      </c>
      <c r="AO87" s="87">
        <f>IF(ISBLANK(AI87),1,2)</f>
        <v>1</v>
      </c>
    </row>
    <row r="88" spans="2:45" ht="15" customHeight="1" x14ac:dyDescent="0.3">
      <c r="E88" s="2" t="s">
        <v>182</v>
      </c>
      <c r="F88" s="201"/>
      <c r="G88" s="201"/>
      <c r="H88" s="201"/>
      <c r="I88" s="201"/>
      <c r="N88" s="2" t="s">
        <v>183</v>
      </c>
      <c r="O88" s="201"/>
      <c r="P88" s="201"/>
      <c r="Q88" s="201"/>
      <c r="AI88" s="30"/>
      <c r="AJ88" s="30"/>
      <c r="AL88" s="60" t="s">
        <v>47</v>
      </c>
      <c r="AM88" s="87">
        <f>IF(ISBLANK(F89),0,1)</f>
        <v>0</v>
      </c>
      <c r="AN88" s="60" t="s">
        <v>21</v>
      </c>
      <c r="AO88" s="87">
        <f>IF(ISBLANK(F88),0,1)</f>
        <v>0</v>
      </c>
      <c r="AP88" s="60" t="s">
        <v>74</v>
      </c>
      <c r="AQ88" s="87">
        <f>IF(ISBLANK(W89),0,1)</f>
        <v>0</v>
      </c>
      <c r="AR88" s="60" t="s">
        <v>75</v>
      </c>
      <c r="AS88" s="87">
        <f>IF(ISBLANK(AF89),0,1)</f>
        <v>0</v>
      </c>
    </row>
    <row r="89" spans="2:45" ht="15" customHeight="1" x14ac:dyDescent="0.3">
      <c r="E89" s="2" t="s">
        <v>180</v>
      </c>
      <c r="F89" s="182"/>
      <c r="G89" s="182"/>
      <c r="H89" s="182"/>
      <c r="I89" s="182"/>
      <c r="J89" s="21" t="s">
        <v>39</v>
      </c>
      <c r="N89" s="2" t="s">
        <v>184</v>
      </c>
      <c r="O89" s="182"/>
      <c r="P89" s="182"/>
      <c r="Q89" s="182"/>
      <c r="R89" s="21" t="s">
        <v>39</v>
      </c>
      <c r="V89" s="2" t="s">
        <v>203</v>
      </c>
      <c r="W89" s="180"/>
      <c r="X89" s="180"/>
      <c r="Y89" s="180"/>
      <c r="Z89" s="21" t="s">
        <v>39</v>
      </c>
      <c r="AE89" s="2" t="s">
        <v>265</v>
      </c>
      <c r="AF89" s="180"/>
      <c r="AG89" s="180"/>
      <c r="AH89" s="180"/>
      <c r="AI89" s="21" t="s">
        <v>39</v>
      </c>
      <c r="AL89" s="60" t="s">
        <v>73</v>
      </c>
      <c r="AM89" s="87">
        <f>IF(ISBLANK(O89),0,1)</f>
        <v>0</v>
      </c>
      <c r="AN89" s="60" t="s">
        <v>31</v>
      </c>
      <c r="AO89" s="87">
        <f>IF(ISBLANK(O88),0,1)</f>
        <v>0</v>
      </c>
      <c r="AP89" s="60"/>
    </row>
    <row r="90" spans="2:45" ht="4.95" customHeight="1" x14ac:dyDescent="0.3">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L90" s="60"/>
      <c r="AN90" s="60"/>
      <c r="AP90" s="60"/>
    </row>
    <row r="91" spans="2:45" ht="15" customHeight="1" x14ac:dyDescent="0.3">
      <c r="B91" s="1" t="s">
        <v>14</v>
      </c>
      <c r="N91" s="28" t="s">
        <v>193</v>
      </c>
      <c r="O91" s="206"/>
      <c r="P91" s="206"/>
      <c r="Q91" s="206"/>
      <c r="R91" s="206"/>
      <c r="V91" s="2" t="s">
        <v>194</v>
      </c>
      <c r="W91" s="207"/>
      <c r="X91" s="207"/>
      <c r="Y91" s="207"/>
      <c r="Z91" s="207"/>
      <c r="AL91" s="60" t="s">
        <v>138</v>
      </c>
      <c r="AM91" s="87">
        <f>IF(ISBLANK(O91),0,1)</f>
        <v>0</v>
      </c>
      <c r="AN91" s="60" t="s">
        <v>140</v>
      </c>
      <c r="AO91" s="87">
        <f>SUM(AM91:AM92)</f>
        <v>0</v>
      </c>
      <c r="AP91" s="60" t="s">
        <v>382</v>
      </c>
      <c r="AQ91" s="87">
        <f>IF(ISBLANK(O91),1,IF(ISTEXT(O91)=TRUE,3,2))</f>
        <v>1</v>
      </c>
      <c r="AR91" s="60" t="s">
        <v>383</v>
      </c>
      <c r="AS91" s="87">
        <f>IF(ISBLANK(W91),1,IF(ISTEXT(W91)=TRUE,3,2))</f>
        <v>1</v>
      </c>
    </row>
    <row r="92" spans="2:45" ht="15" customHeight="1" x14ac:dyDescent="0.3">
      <c r="B92" s="1"/>
      <c r="AL92" s="60" t="s">
        <v>139</v>
      </c>
      <c r="AM92" s="87">
        <f>IF(ISBLANK(W91),0,1)</f>
        <v>0</v>
      </c>
    </row>
    <row r="93" spans="2:45" ht="19.95" customHeight="1" x14ac:dyDescent="0.3">
      <c r="B93" s="1" t="s">
        <v>357</v>
      </c>
      <c r="C93" s="1"/>
      <c r="D93" s="1"/>
      <c r="E93" s="1"/>
      <c r="F93" s="1"/>
      <c r="G93" s="1"/>
      <c r="H93" s="1"/>
      <c r="I93" s="1"/>
      <c r="AL93" s="87">
        <f>IF(ISBLANK(AG93),0,IF(AG93&lt;2,1,""))</f>
        <v>0</v>
      </c>
      <c r="AN93" s="60"/>
      <c r="AP93" s="60"/>
    </row>
    <row r="94" spans="2:45" ht="15" customHeight="1" x14ac:dyDescent="0.3">
      <c r="C94" s="186" t="s">
        <v>15</v>
      </c>
      <c r="D94" s="186"/>
      <c r="E94" s="186"/>
      <c r="F94" s="4"/>
      <c r="G94" s="4"/>
      <c r="H94" s="4"/>
      <c r="I94" s="4" t="s">
        <v>16</v>
      </c>
      <c r="K94" s="4"/>
      <c r="L94" s="4"/>
      <c r="M94" s="21" t="s">
        <v>46</v>
      </c>
      <c r="T94" s="4" t="s">
        <v>15</v>
      </c>
      <c r="V94" s="4"/>
      <c r="W94" s="4"/>
      <c r="Y94" s="4" t="s">
        <v>16</v>
      </c>
      <c r="Z94" s="4"/>
      <c r="AC94" s="21" t="s">
        <v>46</v>
      </c>
      <c r="AL94" s="60"/>
      <c r="AN94" s="60"/>
      <c r="AP94" s="60"/>
    </row>
    <row r="95" spans="2:45" ht="14.55" customHeight="1" x14ac:dyDescent="0.3">
      <c r="C95" s="180"/>
      <c r="D95" s="180"/>
      <c r="E95" s="180"/>
      <c r="F95" s="21" t="s">
        <v>39</v>
      </c>
      <c r="H95" s="176"/>
      <c r="I95" s="176"/>
      <c r="J95" s="176"/>
      <c r="K95" s="177" t="str">
        <f>IF($AM$58=0,"Units?",IF($AM$58=1,"ac",IF($AM$58=2,"sq-ft","Error")))</f>
        <v>Units?</v>
      </c>
      <c r="L95" s="177"/>
      <c r="M95" s="176"/>
      <c r="N95" s="176"/>
      <c r="O95" s="176"/>
      <c r="P95" s="176"/>
      <c r="Q95" s="177" t="str">
        <f>IF($AM$58=0,"Units?",IF($AM$58=1,"ac-ft",IF($AM$58=2,"cu-ft","Error")))</f>
        <v>Units?</v>
      </c>
      <c r="R95" s="177"/>
      <c r="S95" s="180"/>
      <c r="T95" s="180"/>
      <c r="U95" s="180"/>
      <c r="V95" s="21" t="s">
        <v>39</v>
      </c>
      <c r="W95" s="25"/>
      <c r="X95" s="176"/>
      <c r="Y95" s="176"/>
      <c r="Z95" s="176"/>
      <c r="AA95" s="177" t="str">
        <f t="shared" ref="AA95:AA101" si="7">IF($AM$58=0,"Units?",IF($AM$58=1,"ac",IF($AM$58=2,"sq-ft","Error")))</f>
        <v>Units?</v>
      </c>
      <c r="AB95" s="177"/>
      <c r="AC95" s="176"/>
      <c r="AD95" s="176"/>
      <c r="AE95" s="176"/>
      <c r="AF95" s="176"/>
      <c r="AG95" s="177" t="str">
        <f>IF($AM$58=0,"Units?",IF($AM$58=1,"ac-ft",IF($AM$58=2,"cu-ft","Error")))</f>
        <v>Units?</v>
      </c>
      <c r="AH95" s="177"/>
      <c r="AL95" s="87">
        <f t="shared" ref="AL95:AL101" si="8">IF(ISBLANK(C95),1,2)</f>
        <v>1</v>
      </c>
      <c r="AM95" s="87">
        <f t="shared" ref="AM95:AM101" si="9">IF(ISBLANK(S95),1,2)</f>
        <v>1</v>
      </c>
      <c r="AN95" s="87">
        <f>IF(ISBLANK(H95),1,2)</f>
        <v>1</v>
      </c>
      <c r="AO95" s="87">
        <f>IF(ISBLANK(M95),1,2)</f>
        <v>1</v>
      </c>
      <c r="AP95" s="60"/>
    </row>
    <row r="96" spans="2:45" ht="14.55" customHeight="1" x14ac:dyDescent="0.3">
      <c r="C96" s="182"/>
      <c r="D96" s="182"/>
      <c r="E96" s="182"/>
      <c r="F96" s="21" t="s">
        <v>39</v>
      </c>
      <c r="H96" s="175"/>
      <c r="I96" s="175"/>
      <c r="J96" s="175"/>
      <c r="K96" s="177" t="str">
        <f t="shared" ref="K96:K101" si="10">IF($AM$58=0,"Units?",IF($AM$58=1,"ac",IF($AM$58=2,"sq-ft","Error")))</f>
        <v>Units?</v>
      </c>
      <c r="L96" s="177"/>
      <c r="M96" s="175"/>
      <c r="N96" s="175"/>
      <c r="O96" s="175"/>
      <c r="P96" s="175"/>
      <c r="Q96" s="177" t="str">
        <f t="shared" ref="Q96:Q101" si="11">IF($AM$58=0,"Units?",IF($AM$58=1,"ac-ft",IF($AM$58=2,"cu-ft","Error")))</f>
        <v>Units?</v>
      </c>
      <c r="R96" s="177"/>
      <c r="S96" s="182"/>
      <c r="T96" s="182"/>
      <c r="U96" s="182"/>
      <c r="V96" s="21" t="s">
        <v>39</v>
      </c>
      <c r="W96" s="25"/>
      <c r="X96" s="175"/>
      <c r="Y96" s="175"/>
      <c r="Z96" s="175"/>
      <c r="AA96" s="177" t="str">
        <f t="shared" si="7"/>
        <v>Units?</v>
      </c>
      <c r="AB96" s="177"/>
      <c r="AC96" s="175"/>
      <c r="AD96" s="175"/>
      <c r="AE96" s="175"/>
      <c r="AF96" s="175"/>
      <c r="AG96" s="177" t="str">
        <f t="shared" ref="AG96:AG101" si="12">IF($AM$58=0,"Units?",IF($AM$58=1,"ac-ft",IF($AM$58=2,"cu-ft","Error")))</f>
        <v>Units?</v>
      </c>
      <c r="AH96" s="177"/>
      <c r="AL96" s="87">
        <f t="shared" si="8"/>
        <v>1</v>
      </c>
      <c r="AM96" s="87">
        <f t="shared" si="9"/>
        <v>1</v>
      </c>
      <c r="AP96" s="60"/>
    </row>
    <row r="97" spans="2:46" ht="14.55" customHeight="1" x14ac:dyDescent="0.3">
      <c r="C97" s="182"/>
      <c r="D97" s="182"/>
      <c r="E97" s="182"/>
      <c r="F97" s="21" t="s">
        <v>39</v>
      </c>
      <c r="H97" s="175"/>
      <c r="I97" s="175"/>
      <c r="J97" s="175"/>
      <c r="K97" s="177" t="str">
        <f t="shared" si="10"/>
        <v>Units?</v>
      </c>
      <c r="L97" s="177"/>
      <c r="M97" s="175"/>
      <c r="N97" s="175"/>
      <c r="O97" s="175"/>
      <c r="P97" s="175"/>
      <c r="Q97" s="177" t="str">
        <f t="shared" si="11"/>
        <v>Units?</v>
      </c>
      <c r="R97" s="177"/>
      <c r="S97" s="182"/>
      <c r="T97" s="182"/>
      <c r="U97" s="182"/>
      <c r="V97" s="21" t="s">
        <v>39</v>
      </c>
      <c r="W97" s="25"/>
      <c r="X97" s="175"/>
      <c r="Y97" s="175"/>
      <c r="Z97" s="175"/>
      <c r="AA97" s="177" t="str">
        <f t="shared" si="7"/>
        <v>Units?</v>
      </c>
      <c r="AB97" s="177"/>
      <c r="AC97" s="175"/>
      <c r="AD97" s="175"/>
      <c r="AE97" s="175"/>
      <c r="AF97" s="175"/>
      <c r="AG97" s="177" t="str">
        <f t="shared" si="12"/>
        <v>Units?</v>
      </c>
      <c r="AH97" s="177"/>
      <c r="AL97" s="87">
        <f t="shared" si="8"/>
        <v>1</v>
      </c>
      <c r="AM97" s="87">
        <f t="shared" si="9"/>
        <v>1</v>
      </c>
      <c r="AP97" s="60"/>
    </row>
    <row r="98" spans="2:46" ht="14.55" customHeight="1" x14ac:dyDescent="0.3">
      <c r="C98" s="182"/>
      <c r="D98" s="182"/>
      <c r="E98" s="182"/>
      <c r="F98" s="21" t="s">
        <v>39</v>
      </c>
      <c r="H98" s="175"/>
      <c r="I98" s="175"/>
      <c r="J98" s="175"/>
      <c r="K98" s="177" t="str">
        <f t="shared" si="10"/>
        <v>Units?</v>
      </c>
      <c r="L98" s="177"/>
      <c r="M98" s="175"/>
      <c r="N98" s="175"/>
      <c r="O98" s="175"/>
      <c r="P98" s="175"/>
      <c r="Q98" s="177" t="str">
        <f t="shared" si="11"/>
        <v>Units?</v>
      </c>
      <c r="R98" s="177"/>
      <c r="S98" s="182"/>
      <c r="T98" s="182"/>
      <c r="U98" s="182"/>
      <c r="V98" s="21" t="s">
        <v>39</v>
      </c>
      <c r="W98" s="25"/>
      <c r="X98" s="175"/>
      <c r="Y98" s="175"/>
      <c r="Z98" s="175"/>
      <c r="AA98" s="177" t="str">
        <f t="shared" si="7"/>
        <v>Units?</v>
      </c>
      <c r="AB98" s="177"/>
      <c r="AC98" s="175"/>
      <c r="AD98" s="175"/>
      <c r="AE98" s="175"/>
      <c r="AF98" s="175"/>
      <c r="AG98" s="177" t="str">
        <f t="shared" si="12"/>
        <v>Units?</v>
      </c>
      <c r="AH98" s="177"/>
      <c r="AL98" s="87">
        <f t="shared" si="8"/>
        <v>1</v>
      </c>
      <c r="AM98" s="87">
        <f t="shared" si="9"/>
        <v>1</v>
      </c>
    </row>
    <row r="99" spans="2:46" ht="14.55" customHeight="1" x14ac:dyDescent="0.3">
      <c r="C99" s="182"/>
      <c r="D99" s="182"/>
      <c r="E99" s="182"/>
      <c r="F99" s="21" t="s">
        <v>39</v>
      </c>
      <c r="H99" s="175"/>
      <c r="I99" s="175"/>
      <c r="J99" s="175"/>
      <c r="K99" s="177" t="str">
        <f t="shared" si="10"/>
        <v>Units?</v>
      </c>
      <c r="L99" s="177"/>
      <c r="M99" s="175"/>
      <c r="N99" s="175"/>
      <c r="O99" s="175"/>
      <c r="P99" s="175"/>
      <c r="Q99" s="177" t="str">
        <f t="shared" si="11"/>
        <v>Units?</v>
      </c>
      <c r="R99" s="177"/>
      <c r="S99" s="182"/>
      <c r="T99" s="182"/>
      <c r="U99" s="182"/>
      <c r="V99" s="21" t="s">
        <v>39</v>
      </c>
      <c r="W99" s="25"/>
      <c r="X99" s="175"/>
      <c r="Y99" s="175"/>
      <c r="Z99" s="175"/>
      <c r="AA99" s="177" t="str">
        <f t="shared" si="7"/>
        <v>Units?</v>
      </c>
      <c r="AB99" s="177"/>
      <c r="AC99" s="175"/>
      <c r="AD99" s="175"/>
      <c r="AE99" s="175"/>
      <c r="AF99" s="175"/>
      <c r="AG99" s="177" t="str">
        <f t="shared" si="12"/>
        <v>Units?</v>
      </c>
      <c r="AH99" s="177"/>
      <c r="AL99" s="87">
        <f t="shared" si="8"/>
        <v>1</v>
      </c>
      <c r="AM99" s="87">
        <f t="shared" si="9"/>
        <v>1</v>
      </c>
    </row>
    <row r="100" spans="2:46" ht="14.55" customHeight="1" x14ac:dyDescent="0.3">
      <c r="C100" s="182"/>
      <c r="D100" s="182"/>
      <c r="E100" s="182"/>
      <c r="F100" s="21" t="s">
        <v>39</v>
      </c>
      <c r="H100" s="175"/>
      <c r="I100" s="175"/>
      <c r="J100" s="175"/>
      <c r="K100" s="177" t="str">
        <f t="shared" si="10"/>
        <v>Units?</v>
      </c>
      <c r="L100" s="177"/>
      <c r="M100" s="175"/>
      <c r="N100" s="175"/>
      <c r="O100" s="175"/>
      <c r="P100" s="175"/>
      <c r="Q100" s="177" t="str">
        <f t="shared" si="11"/>
        <v>Units?</v>
      </c>
      <c r="R100" s="177"/>
      <c r="S100" s="182"/>
      <c r="T100" s="182"/>
      <c r="U100" s="182"/>
      <c r="V100" s="21" t="s">
        <v>39</v>
      </c>
      <c r="W100" s="25"/>
      <c r="X100" s="175"/>
      <c r="Y100" s="175"/>
      <c r="Z100" s="175"/>
      <c r="AA100" s="177" t="str">
        <f t="shared" si="7"/>
        <v>Units?</v>
      </c>
      <c r="AB100" s="177"/>
      <c r="AC100" s="175"/>
      <c r="AD100" s="175"/>
      <c r="AE100" s="175"/>
      <c r="AF100" s="175"/>
      <c r="AG100" s="177" t="str">
        <f t="shared" si="12"/>
        <v>Units?</v>
      </c>
      <c r="AH100" s="177"/>
      <c r="AL100" s="87">
        <f t="shared" si="8"/>
        <v>1</v>
      </c>
      <c r="AM100" s="87">
        <f t="shared" si="9"/>
        <v>1</v>
      </c>
    </row>
    <row r="101" spans="2:46" ht="14.55" customHeight="1" x14ac:dyDescent="0.3">
      <c r="C101" s="182"/>
      <c r="D101" s="182"/>
      <c r="E101" s="182"/>
      <c r="F101" s="21" t="s">
        <v>39</v>
      </c>
      <c r="H101" s="175"/>
      <c r="I101" s="175"/>
      <c r="J101" s="175"/>
      <c r="K101" s="177" t="str">
        <f t="shared" si="10"/>
        <v>Units?</v>
      </c>
      <c r="L101" s="177"/>
      <c r="M101" s="175"/>
      <c r="N101" s="175"/>
      <c r="O101" s="175"/>
      <c r="P101" s="175"/>
      <c r="Q101" s="177" t="str">
        <f t="shared" si="11"/>
        <v>Units?</v>
      </c>
      <c r="R101" s="177"/>
      <c r="S101" s="182"/>
      <c r="T101" s="182"/>
      <c r="U101" s="182"/>
      <c r="V101" s="21" t="s">
        <v>39</v>
      </c>
      <c r="W101" s="25"/>
      <c r="X101" s="175"/>
      <c r="Y101" s="175"/>
      <c r="Z101" s="175"/>
      <c r="AA101" s="177" t="str">
        <f t="shared" si="7"/>
        <v>Units?</v>
      </c>
      <c r="AB101" s="177"/>
      <c r="AC101" s="175"/>
      <c r="AD101" s="175"/>
      <c r="AE101" s="175"/>
      <c r="AF101" s="175"/>
      <c r="AG101" s="177" t="str">
        <f t="shared" si="12"/>
        <v>Units?</v>
      </c>
      <c r="AH101" s="177"/>
      <c r="AL101" s="87">
        <f t="shared" si="8"/>
        <v>1</v>
      </c>
      <c r="AM101" s="87">
        <f t="shared" si="9"/>
        <v>1</v>
      </c>
    </row>
    <row r="102" spans="2:46" ht="14.55" customHeight="1" x14ac:dyDescent="0.3">
      <c r="G102" s="24" t="s">
        <v>266</v>
      </c>
      <c r="H102" s="205">
        <f>$W$21</f>
        <v>0</v>
      </c>
      <c r="I102" s="205"/>
      <c r="J102" s="205"/>
      <c r="K102" s="177" t="s">
        <v>34</v>
      </c>
      <c r="L102" s="177"/>
      <c r="O102" s="66"/>
      <c r="P102" s="35"/>
      <c r="R102" s="24" t="s">
        <v>267</v>
      </c>
      <c r="S102" s="175"/>
      <c r="T102" s="175"/>
      <c r="U102" s="175"/>
      <c r="V102" s="177" t="s">
        <v>34</v>
      </c>
      <c r="W102" s="177"/>
      <c r="AB102" s="35" t="s">
        <v>512</v>
      </c>
      <c r="AC102" s="178"/>
      <c r="AD102" s="178"/>
      <c r="AE102" s="178"/>
      <c r="AF102" s="178"/>
      <c r="AG102" s="21" t="s">
        <v>39</v>
      </c>
      <c r="AL102" s="60" t="s">
        <v>143</v>
      </c>
      <c r="AM102" s="87" t="str">
        <f>IF(ISBLANK(S102),"",IF(ISTEXT(S102),2,IF(OR(S102=H102,S102&gt;H102),1,2)))</f>
        <v/>
      </c>
      <c r="AN102" s="87">
        <f>IF(ISTEXT(S102),2,1)</f>
        <v>1</v>
      </c>
    </row>
    <row r="103" spans="2:46" ht="15" customHeight="1" x14ac:dyDescent="0.3">
      <c r="AK103" s="25"/>
      <c r="AM103" s="87">
        <f>IF(OR(H102=0,ISBLANK(S102)),2,1)</f>
        <v>2</v>
      </c>
    </row>
    <row r="104" spans="2:46" ht="15" customHeight="1" x14ac:dyDescent="0.3">
      <c r="B104" s="200">
        <f>Tables!$F$13</f>
        <v>46266</v>
      </c>
      <c r="C104" s="200"/>
      <c r="D104" s="200"/>
      <c r="E104" s="200"/>
      <c r="F104" s="200"/>
      <c r="G104" s="200"/>
      <c r="H104" s="200"/>
      <c r="R104" s="186" t="s">
        <v>222</v>
      </c>
      <c r="S104" s="186"/>
      <c r="T104" s="186"/>
      <c r="U104" s="186"/>
      <c r="AK104" s="25"/>
    </row>
    <row r="105" spans="2:46" ht="15" customHeight="1" x14ac:dyDescent="0.3">
      <c r="C105" s="2" t="s">
        <v>1</v>
      </c>
      <c r="D105" s="199">
        <f>IF(ISBLANK($E$7),0,$E$7)</f>
        <v>0</v>
      </c>
      <c r="E105" s="199"/>
      <c r="F105" s="199"/>
      <c r="G105" s="199"/>
      <c r="H105" s="199"/>
      <c r="I105" s="199"/>
      <c r="J105" s="199"/>
      <c r="K105" s="199"/>
      <c r="L105" s="199"/>
      <c r="M105" s="199"/>
      <c r="N105" s="199"/>
      <c r="O105" s="199"/>
      <c r="P105" s="199"/>
      <c r="Q105" s="199"/>
      <c r="R105" s="199"/>
      <c r="S105" s="199"/>
      <c r="T105" s="199"/>
      <c r="U105" s="199"/>
      <c r="V105" s="199"/>
      <c r="W105" s="199"/>
      <c r="X105" s="199"/>
      <c r="Y105" s="199"/>
      <c r="Z105" s="33"/>
      <c r="AD105" s="2" t="s">
        <v>19</v>
      </c>
      <c r="AE105" s="179">
        <f>IF(ISBLANK($AE$7),0,$AE$7)</f>
        <v>0</v>
      </c>
      <c r="AF105" s="179"/>
      <c r="AG105" s="179"/>
      <c r="AH105" s="179"/>
      <c r="AI105" s="179"/>
      <c r="AJ105" s="179"/>
    </row>
    <row r="106" spans="2:46" ht="15" customHeight="1" x14ac:dyDescent="0.3">
      <c r="C106" s="34"/>
      <c r="D106" s="34"/>
      <c r="E106" s="34"/>
      <c r="F106" s="34"/>
      <c r="G106" s="34"/>
      <c r="H106" s="34"/>
      <c r="I106" s="34"/>
      <c r="J106" s="2"/>
      <c r="K106" s="2"/>
      <c r="M106" s="2"/>
      <c r="N106" s="34"/>
      <c r="O106" s="33"/>
      <c r="Q106" s="33"/>
      <c r="R106" s="33"/>
      <c r="S106" s="33"/>
      <c r="T106" s="33"/>
      <c r="U106" s="33"/>
      <c r="V106" s="33"/>
      <c r="W106" s="33"/>
      <c r="X106" s="33"/>
      <c r="Y106" s="33"/>
      <c r="Z106" s="33"/>
      <c r="AD106" s="2" t="s">
        <v>32</v>
      </c>
      <c r="AE106" s="187">
        <f>IF(ISBLANK($AE$8),0,$AE$8)</f>
        <v>0</v>
      </c>
      <c r="AF106" s="187"/>
      <c r="AG106" s="187"/>
      <c r="AH106" s="187"/>
      <c r="AI106" s="187"/>
      <c r="AJ106" s="187"/>
      <c r="AM106" s="15" t="s">
        <v>379</v>
      </c>
      <c r="AR106" s="15" t="s">
        <v>378</v>
      </c>
      <c r="AS106" s="15"/>
      <c r="AT106" s="15"/>
    </row>
    <row r="107" spans="2:46" ht="15" customHeight="1" x14ac:dyDescent="0.3">
      <c r="B107" s="1" t="s">
        <v>358</v>
      </c>
      <c r="Y107" s="186" t="s">
        <v>378</v>
      </c>
      <c r="Z107" s="186"/>
      <c r="AA107" s="186"/>
      <c r="AC107" s="186" t="s">
        <v>379</v>
      </c>
      <c r="AD107" s="186"/>
      <c r="AE107" s="186"/>
      <c r="AL107" s="15" t="s">
        <v>70</v>
      </c>
      <c r="AM107" s="15" t="s">
        <v>241</v>
      </c>
      <c r="AN107" s="15" t="s">
        <v>71</v>
      </c>
      <c r="AO107" s="15" t="s">
        <v>337</v>
      </c>
      <c r="AP107" s="15" t="s">
        <v>362</v>
      </c>
      <c r="AQ107" s="15" t="s">
        <v>277</v>
      </c>
      <c r="AR107" s="15" t="s">
        <v>241</v>
      </c>
      <c r="AS107" s="15"/>
      <c r="AT107" s="15"/>
    </row>
    <row r="108" spans="2:46" ht="30" customHeight="1" x14ac:dyDescent="0.3">
      <c r="F108" s="1"/>
      <c r="G108" s="1"/>
      <c r="H108" s="1"/>
      <c r="I108" s="185" t="s">
        <v>56</v>
      </c>
      <c r="J108" s="185"/>
      <c r="K108" s="185"/>
      <c r="L108" s="67"/>
      <c r="M108" s="185" t="s">
        <v>511</v>
      </c>
      <c r="N108" s="186"/>
      <c r="O108" s="186"/>
      <c r="P108" s="67"/>
      <c r="Q108" s="185" t="s">
        <v>57</v>
      </c>
      <c r="R108" s="185"/>
      <c r="S108" s="185"/>
      <c r="U108" s="185" t="s">
        <v>261</v>
      </c>
      <c r="V108" s="185"/>
      <c r="W108" s="185"/>
      <c r="Y108" s="185" t="s">
        <v>224</v>
      </c>
      <c r="Z108" s="185"/>
      <c r="AA108" s="185"/>
      <c r="AB108" s="84"/>
      <c r="AC108" s="185" t="s">
        <v>224</v>
      </c>
      <c r="AD108" s="185"/>
      <c r="AE108" s="185"/>
      <c r="AF108" s="67"/>
      <c r="AG108" s="185" t="s">
        <v>58</v>
      </c>
      <c r="AH108" s="185"/>
      <c r="AI108" s="185"/>
      <c r="AJ108" s="185"/>
      <c r="AL108" s="87">
        <f>SUM(AL109:AL113)</f>
        <v>5</v>
      </c>
      <c r="AM108" s="87">
        <f>AM114</f>
        <v>1</v>
      </c>
      <c r="AN108" s="87">
        <f t="shared" ref="AN108:AR108" si="13">SUM(AN109:AN114)</f>
        <v>6</v>
      </c>
      <c r="AO108" s="87">
        <f t="shared" si="13"/>
        <v>0</v>
      </c>
      <c r="AP108" s="87">
        <f t="shared" si="13"/>
        <v>0</v>
      </c>
      <c r="AQ108" s="94">
        <f t="shared" si="13"/>
        <v>6</v>
      </c>
      <c r="AR108" s="87">
        <f t="shared" si="13"/>
        <v>6</v>
      </c>
      <c r="AS108" s="15"/>
      <c r="AT108" s="15"/>
    </row>
    <row r="109" spans="2:46" ht="15" customHeight="1" x14ac:dyDescent="0.3">
      <c r="C109" s="184">
        <f>Tables!$F$16</f>
        <v>6.02</v>
      </c>
      <c r="D109" s="184"/>
      <c r="G109" s="2" t="str">
        <f>Tables!$D$16</f>
        <v>(2-yr)</v>
      </c>
      <c r="H109" s="2"/>
      <c r="I109" s="183"/>
      <c r="J109" s="183"/>
      <c r="K109" s="183"/>
      <c r="L109" s="6"/>
      <c r="M109" s="183"/>
      <c r="N109" s="183"/>
      <c r="O109" s="183"/>
      <c r="Q109" s="183"/>
      <c r="R109" s="183"/>
      <c r="S109" s="183"/>
      <c r="U109" s="183"/>
      <c r="V109" s="183"/>
      <c r="W109" s="183"/>
      <c r="Y109" s="183"/>
      <c r="Z109" s="183"/>
      <c r="AA109" s="183"/>
      <c r="AG109" s="183"/>
      <c r="AH109" s="183"/>
      <c r="AI109" s="183"/>
      <c r="AL109" s="87">
        <f>IF(ISBLANK(U109),1,IF(U109&gt;W$89,1,0))</f>
        <v>1</v>
      </c>
      <c r="AM109" s="122"/>
      <c r="AN109" s="87">
        <f t="shared" ref="AN109:AN114" si="14">IF(OR(ISBLANK(AG109),ISBLANK(I109)),1,IF(AG109&gt;I109,1,0))</f>
        <v>1</v>
      </c>
      <c r="AO109" s="87">
        <f t="shared" ref="AO109:AO114" si="15">IF(OR($AN$125=0,$AN$143=2),0,IF(AG109&gt;$AN$125,1,0))</f>
        <v>0</v>
      </c>
      <c r="AP109" s="87">
        <f t="shared" ref="AP109:AP114" si="16">IF(OR($AN$127=0,$AN$143=2),0,IF($AG109&gt;$AN$127,1,0))</f>
        <v>0</v>
      </c>
      <c r="AQ109" s="94">
        <f t="shared" ref="AQ109:AQ114" si="17">IF(OR(ISBLANK(I109),ISBLANK(AG109)),1,IF(AG109-I109&gt;-0.5,1,0))</f>
        <v>1</v>
      </c>
      <c r="AR109" s="87">
        <f t="shared" ref="AR109:AR114" si="18">IF(ISBLANK(Y109),1,IF(Y109&gt;$AM$116,1,0))</f>
        <v>1</v>
      </c>
      <c r="AS109" s="15"/>
      <c r="AT109" s="15"/>
    </row>
    <row r="110" spans="2:46" ht="15" customHeight="1" x14ac:dyDescent="0.3">
      <c r="C110" s="184">
        <f>Tables!$F$17</f>
        <v>7.68</v>
      </c>
      <c r="D110" s="184"/>
      <c r="G110" s="2" t="str">
        <f>Tables!$D$17</f>
        <v>(5-yr)</v>
      </c>
      <c r="H110" s="2"/>
      <c r="I110" s="178"/>
      <c r="J110" s="178"/>
      <c r="K110" s="178"/>
      <c r="L110" s="6"/>
      <c r="M110" s="178"/>
      <c r="N110" s="178"/>
      <c r="O110" s="178"/>
      <c r="Q110" s="178"/>
      <c r="R110" s="178"/>
      <c r="S110" s="178"/>
      <c r="U110" s="178"/>
      <c r="V110" s="178"/>
      <c r="W110" s="178"/>
      <c r="Y110" s="178"/>
      <c r="Z110" s="178"/>
      <c r="AA110" s="178"/>
      <c r="AG110" s="178"/>
      <c r="AH110" s="178"/>
      <c r="AI110" s="178"/>
      <c r="AL110" s="87">
        <f>IF(ISBLANK(U110),1,IF(U110&gt;W$89,1,0))</f>
        <v>1</v>
      </c>
      <c r="AM110" s="164"/>
      <c r="AN110" s="87">
        <f t="shared" si="14"/>
        <v>1</v>
      </c>
      <c r="AO110" s="87">
        <f t="shared" si="15"/>
        <v>0</v>
      </c>
      <c r="AP110" s="87">
        <f t="shared" si="16"/>
        <v>0</v>
      </c>
      <c r="AQ110" s="94">
        <f t="shared" si="17"/>
        <v>1</v>
      </c>
      <c r="AR110" s="87">
        <f t="shared" si="18"/>
        <v>1</v>
      </c>
      <c r="AS110" s="15"/>
      <c r="AT110" s="15"/>
    </row>
    <row r="111" spans="2:46" ht="15" customHeight="1" x14ac:dyDescent="0.3">
      <c r="C111" s="184">
        <f>Tables!$F$18</f>
        <v>9.26</v>
      </c>
      <c r="D111" s="184"/>
      <c r="G111" s="2" t="str">
        <f>Tables!$D$18</f>
        <v>(10-yr)</v>
      </c>
      <c r="H111" s="2"/>
      <c r="I111" s="178"/>
      <c r="J111" s="178"/>
      <c r="K111" s="178"/>
      <c r="L111" s="6"/>
      <c r="M111" s="178"/>
      <c r="N111" s="178"/>
      <c r="O111" s="178"/>
      <c r="Q111" s="178"/>
      <c r="R111" s="178"/>
      <c r="S111" s="178"/>
      <c r="U111" s="178"/>
      <c r="V111" s="178"/>
      <c r="W111" s="178"/>
      <c r="Y111" s="178"/>
      <c r="Z111" s="178"/>
      <c r="AA111" s="178"/>
      <c r="AG111" s="178"/>
      <c r="AH111" s="178"/>
      <c r="AI111" s="178"/>
      <c r="AL111" s="87">
        <f>IF(ISBLANK(U111),1,IF(U111&gt;W$89,1,0))</f>
        <v>1</v>
      </c>
      <c r="AM111" s="164"/>
      <c r="AN111" s="87">
        <f t="shared" si="14"/>
        <v>1</v>
      </c>
      <c r="AO111" s="87">
        <f t="shared" si="15"/>
        <v>0</v>
      </c>
      <c r="AP111" s="87">
        <f t="shared" si="16"/>
        <v>0</v>
      </c>
      <c r="AQ111" s="94">
        <f t="shared" si="17"/>
        <v>1</v>
      </c>
      <c r="AR111" s="87">
        <f t="shared" si="18"/>
        <v>1</v>
      </c>
      <c r="AS111" s="15"/>
      <c r="AT111" s="15"/>
    </row>
    <row r="112" spans="2:46" ht="15" customHeight="1" x14ac:dyDescent="0.3">
      <c r="C112" s="184">
        <f>Tables!$F$19</f>
        <v>11.7</v>
      </c>
      <c r="D112" s="184"/>
      <c r="G112" s="2" t="str">
        <f>Tables!$D$19</f>
        <v>(25-yr)</v>
      </c>
      <c r="H112" s="2"/>
      <c r="I112" s="178"/>
      <c r="J112" s="178"/>
      <c r="K112" s="178"/>
      <c r="L112" s="6"/>
      <c r="M112" s="178"/>
      <c r="N112" s="178"/>
      <c r="O112" s="178"/>
      <c r="Q112" s="178"/>
      <c r="R112" s="178"/>
      <c r="S112" s="178"/>
      <c r="U112" s="178"/>
      <c r="V112" s="178"/>
      <c r="W112" s="178"/>
      <c r="Y112" s="178"/>
      <c r="Z112" s="178"/>
      <c r="AA112" s="178"/>
      <c r="AG112" s="178"/>
      <c r="AH112" s="178"/>
      <c r="AI112" s="178"/>
      <c r="AL112" s="87">
        <f>IF(ISBLANK(U112),1,IF(U112&gt;W$89,1,0))</f>
        <v>1</v>
      </c>
      <c r="AM112" s="164"/>
      <c r="AN112" s="87">
        <f t="shared" si="14"/>
        <v>1</v>
      </c>
      <c r="AO112" s="87">
        <f t="shared" si="15"/>
        <v>0</v>
      </c>
      <c r="AP112" s="87">
        <f t="shared" si="16"/>
        <v>0</v>
      </c>
      <c r="AQ112" s="94">
        <f t="shared" si="17"/>
        <v>1</v>
      </c>
      <c r="AR112" s="87">
        <f t="shared" si="18"/>
        <v>1</v>
      </c>
      <c r="AS112" s="15"/>
      <c r="AT112" s="15"/>
    </row>
    <row r="113" spans="2:46" ht="15" customHeight="1" x14ac:dyDescent="0.3">
      <c r="C113" s="184">
        <f>Tables!$F$20</f>
        <v>13.9</v>
      </c>
      <c r="D113" s="184"/>
      <c r="G113" s="2" t="str">
        <f>Tables!$D$20</f>
        <v>(50-yr)</v>
      </c>
      <c r="H113" s="2"/>
      <c r="I113" s="178"/>
      <c r="J113" s="178"/>
      <c r="K113" s="178"/>
      <c r="L113" s="6"/>
      <c r="M113" s="178"/>
      <c r="N113" s="178"/>
      <c r="O113" s="178"/>
      <c r="Q113" s="178"/>
      <c r="R113" s="178"/>
      <c r="S113" s="178"/>
      <c r="U113" s="178"/>
      <c r="V113" s="178"/>
      <c r="W113" s="178"/>
      <c r="Y113" s="178"/>
      <c r="Z113" s="178"/>
      <c r="AA113" s="178"/>
      <c r="AG113" s="178"/>
      <c r="AH113" s="178"/>
      <c r="AI113" s="178"/>
      <c r="AL113" s="87">
        <f>IF(ISBLANK(U113),1,IF(U113&gt;W$89,1,0))</f>
        <v>1</v>
      </c>
      <c r="AM113" s="105"/>
      <c r="AN113" s="87">
        <f t="shared" si="14"/>
        <v>1</v>
      </c>
      <c r="AO113" s="87">
        <f t="shared" si="15"/>
        <v>0</v>
      </c>
      <c r="AP113" s="87">
        <f t="shared" si="16"/>
        <v>0</v>
      </c>
      <c r="AQ113" s="94">
        <f t="shared" si="17"/>
        <v>1</v>
      </c>
      <c r="AR113" s="87">
        <f t="shared" si="18"/>
        <v>1</v>
      </c>
      <c r="AS113" s="15"/>
      <c r="AT113" s="15"/>
    </row>
    <row r="114" spans="2:46" ht="15" customHeight="1" x14ac:dyDescent="0.3">
      <c r="C114" s="184">
        <f>Tables!$F$21</f>
        <v>16.3</v>
      </c>
      <c r="D114" s="184"/>
      <c r="G114" s="2" t="str">
        <f>Tables!$D$21</f>
        <v>(100-yr)</v>
      </c>
      <c r="H114" s="2"/>
      <c r="I114" s="178"/>
      <c r="J114" s="178"/>
      <c r="K114" s="178"/>
      <c r="L114" s="6"/>
      <c r="M114" s="178"/>
      <c r="N114" s="178"/>
      <c r="O114" s="178"/>
      <c r="Q114" s="178"/>
      <c r="R114" s="178"/>
      <c r="S114" s="178"/>
      <c r="U114" s="178"/>
      <c r="V114" s="178"/>
      <c r="W114" s="178"/>
      <c r="Y114" s="178"/>
      <c r="Z114" s="178"/>
      <c r="AA114" s="178"/>
      <c r="AC114" s="183"/>
      <c r="AD114" s="183"/>
      <c r="AE114" s="183"/>
      <c r="AG114" s="178"/>
      <c r="AH114" s="178"/>
      <c r="AI114" s="178"/>
      <c r="AL114" s="92">
        <f>IF(OR(ISBLANK($AF$89),ISBLANK(U114)),0,$AF$89-U114)</f>
        <v>0</v>
      </c>
      <c r="AM114" s="87">
        <f t="shared" ref="AM114" si="19">IF(ISBLANK(AC114),1,IF(AC114&gt;$AM$116,1,0))</f>
        <v>1</v>
      </c>
      <c r="AN114" s="87">
        <f t="shared" si="14"/>
        <v>1</v>
      </c>
      <c r="AO114" s="87">
        <f t="shared" si="15"/>
        <v>0</v>
      </c>
      <c r="AP114" s="87">
        <f t="shared" si="16"/>
        <v>0</v>
      </c>
      <c r="AQ114" s="94">
        <f t="shared" si="17"/>
        <v>1</v>
      </c>
      <c r="AR114" s="87">
        <f t="shared" si="18"/>
        <v>1</v>
      </c>
      <c r="AS114" s="15"/>
      <c r="AT114" s="15"/>
    </row>
    <row r="115" spans="2:46" ht="15" customHeight="1" x14ac:dyDescent="0.3">
      <c r="B115" s="5" t="s">
        <v>20</v>
      </c>
      <c r="Q115" s="21" t="s">
        <v>376</v>
      </c>
      <c r="AC115" s="21" t="s">
        <v>377</v>
      </c>
      <c r="AL115" s="87">
        <f>IF(AND(ISBLANK(AF89),ISBLANK(U114)),1,2)</f>
        <v>1</v>
      </c>
      <c r="AP115" s="173" t="s">
        <v>366</v>
      </c>
      <c r="AQ115" s="174"/>
      <c r="AS115" s="15"/>
    </row>
    <row r="116" spans="2:46" ht="15" customHeight="1" x14ac:dyDescent="0.3">
      <c r="B116" s="189"/>
      <c r="C116" s="190"/>
      <c r="D116" s="190"/>
      <c r="E116" s="190"/>
      <c r="F116" s="190"/>
      <c r="G116" s="190"/>
      <c r="H116" s="190"/>
      <c r="I116" s="190"/>
      <c r="J116" s="190"/>
      <c r="K116" s="190"/>
      <c r="L116" s="190"/>
      <c r="M116" s="190"/>
      <c r="N116" s="190"/>
      <c r="O116" s="190"/>
      <c r="P116" s="190"/>
      <c r="Q116" s="190"/>
      <c r="R116" s="190"/>
      <c r="S116" s="190"/>
      <c r="T116" s="190"/>
      <c r="U116" s="190"/>
      <c r="V116" s="190"/>
      <c r="W116" s="190"/>
      <c r="X116" s="190"/>
      <c r="Y116" s="190"/>
      <c r="Z116" s="190"/>
      <c r="AA116" s="190"/>
      <c r="AB116" s="190"/>
      <c r="AC116" s="190"/>
      <c r="AD116" s="190"/>
      <c r="AE116" s="190"/>
      <c r="AF116" s="190"/>
      <c r="AG116" s="190"/>
      <c r="AH116" s="190"/>
      <c r="AI116" s="190"/>
      <c r="AJ116" s="191"/>
      <c r="AL116" s="60" t="s">
        <v>275</v>
      </c>
      <c r="AM116" s="86">
        <f>Tables!F26</f>
        <v>6</v>
      </c>
      <c r="AP116" s="110" t="s">
        <v>364</v>
      </c>
      <c r="AQ116" s="111" t="s">
        <v>144</v>
      </c>
      <c r="AS116" s="15"/>
    </row>
    <row r="117" spans="2:46" ht="15" customHeight="1" x14ac:dyDescent="0.3">
      <c r="B117" s="192"/>
      <c r="C117" s="193"/>
      <c r="D117" s="193"/>
      <c r="E117" s="193"/>
      <c r="F117" s="193"/>
      <c r="G117" s="193"/>
      <c r="H117" s="193"/>
      <c r="I117" s="193"/>
      <c r="J117" s="193"/>
      <c r="K117" s="193"/>
      <c r="L117" s="193"/>
      <c r="M117" s="193"/>
      <c r="N117" s="193"/>
      <c r="O117" s="193"/>
      <c r="P117" s="193"/>
      <c r="Q117" s="193"/>
      <c r="R117" s="193"/>
      <c r="S117" s="193"/>
      <c r="T117" s="193"/>
      <c r="U117" s="193"/>
      <c r="V117" s="193"/>
      <c r="W117" s="193"/>
      <c r="X117" s="193"/>
      <c r="Y117" s="193"/>
      <c r="Z117" s="193"/>
      <c r="AA117" s="193"/>
      <c r="AB117" s="193"/>
      <c r="AC117" s="193"/>
      <c r="AD117" s="193"/>
      <c r="AE117" s="193"/>
      <c r="AF117" s="193"/>
      <c r="AG117" s="193"/>
      <c r="AH117" s="193"/>
      <c r="AI117" s="193"/>
      <c r="AJ117" s="194"/>
      <c r="AP117" s="112">
        <v>2</v>
      </c>
      <c r="AQ117" s="113">
        <f t="shared" ref="AQ117:AQ122" si="20">I109</f>
        <v>0</v>
      </c>
      <c r="AS117" s="15"/>
    </row>
    <row r="118" spans="2:46" ht="15" customHeight="1" x14ac:dyDescent="0.3">
      <c r="B118" s="192"/>
      <c r="C118" s="193"/>
      <c r="D118" s="193"/>
      <c r="E118" s="193"/>
      <c r="F118" s="193"/>
      <c r="G118" s="193"/>
      <c r="H118" s="193"/>
      <c r="I118" s="193"/>
      <c r="J118" s="193"/>
      <c r="K118" s="193"/>
      <c r="L118" s="193"/>
      <c r="M118" s="193"/>
      <c r="N118" s="193"/>
      <c r="O118" s="193"/>
      <c r="P118" s="193"/>
      <c r="Q118" s="193"/>
      <c r="R118" s="193"/>
      <c r="S118" s="193"/>
      <c r="T118" s="193"/>
      <c r="U118" s="193"/>
      <c r="V118" s="193"/>
      <c r="W118" s="193"/>
      <c r="X118" s="193"/>
      <c r="Y118" s="193"/>
      <c r="Z118" s="193"/>
      <c r="AA118" s="193"/>
      <c r="AB118" s="193"/>
      <c r="AC118" s="193"/>
      <c r="AD118" s="193"/>
      <c r="AE118" s="193"/>
      <c r="AF118" s="193"/>
      <c r="AG118" s="193"/>
      <c r="AH118" s="193"/>
      <c r="AI118" s="193"/>
      <c r="AJ118" s="194"/>
      <c r="AP118" s="112">
        <v>5</v>
      </c>
      <c r="AQ118" s="113">
        <f t="shared" si="20"/>
        <v>0</v>
      </c>
    </row>
    <row r="119" spans="2:46" ht="15" customHeight="1" x14ac:dyDescent="0.3">
      <c r="B119" s="192"/>
      <c r="C119" s="193"/>
      <c r="D119" s="193"/>
      <c r="E119" s="193"/>
      <c r="F119" s="193"/>
      <c r="G119" s="193"/>
      <c r="H119" s="193"/>
      <c r="I119" s="193"/>
      <c r="J119" s="193"/>
      <c r="K119" s="193"/>
      <c r="L119" s="193"/>
      <c r="M119" s="193"/>
      <c r="N119" s="193"/>
      <c r="O119" s="193"/>
      <c r="P119" s="193"/>
      <c r="Q119" s="193"/>
      <c r="R119" s="193"/>
      <c r="S119" s="193"/>
      <c r="T119" s="193"/>
      <c r="U119" s="193"/>
      <c r="V119" s="193"/>
      <c r="W119" s="193"/>
      <c r="X119" s="193"/>
      <c r="Y119" s="193"/>
      <c r="Z119" s="193"/>
      <c r="AA119" s="193"/>
      <c r="AB119" s="193"/>
      <c r="AC119" s="193"/>
      <c r="AD119" s="193"/>
      <c r="AE119" s="193"/>
      <c r="AF119" s="193"/>
      <c r="AG119" s="193"/>
      <c r="AH119" s="193"/>
      <c r="AI119" s="193"/>
      <c r="AJ119" s="194"/>
      <c r="AP119" s="112">
        <v>10</v>
      </c>
      <c r="AQ119" s="113">
        <f t="shared" si="20"/>
        <v>0</v>
      </c>
    </row>
    <row r="120" spans="2:46" ht="15" customHeight="1" x14ac:dyDescent="0.3">
      <c r="B120" s="192"/>
      <c r="C120" s="193"/>
      <c r="D120" s="193"/>
      <c r="E120" s="193"/>
      <c r="F120" s="193"/>
      <c r="G120" s="193"/>
      <c r="H120" s="193"/>
      <c r="I120" s="193"/>
      <c r="J120" s="193"/>
      <c r="K120" s="193"/>
      <c r="L120" s="193"/>
      <c r="M120" s="193"/>
      <c r="N120" s="193"/>
      <c r="O120" s="193"/>
      <c r="P120" s="193"/>
      <c r="Q120" s="193"/>
      <c r="R120" s="193"/>
      <c r="S120" s="193"/>
      <c r="T120" s="193"/>
      <c r="U120" s="193"/>
      <c r="V120" s="193"/>
      <c r="W120" s="193"/>
      <c r="X120" s="193"/>
      <c r="Y120" s="193"/>
      <c r="Z120" s="193"/>
      <c r="AA120" s="193"/>
      <c r="AB120" s="193"/>
      <c r="AC120" s="193"/>
      <c r="AD120" s="193"/>
      <c r="AE120" s="193"/>
      <c r="AF120" s="193"/>
      <c r="AG120" s="193"/>
      <c r="AH120" s="193"/>
      <c r="AI120" s="193"/>
      <c r="AJ120" s="194"/>
      <c r="AP120" s="112">
        <v>25</v>
      </c>
      <c r="AQ120" s="113">
        <f t="shared" si="20"/>
        <v>0</v>
      </c>
    </row>
    <row r="121" spans="2:46" ht="15" customHeight="1" x14ac:dyDescent="0.3">
      <c r="B121" s="192"/>
      <c r="C121" s="193"/>
      <c r="D121" s="193"/>
      <c r="E121" s="193"/>
      <c r="F121" s="193"/>
      <c r="G121" s="193"/>
      <c r="H121" s="193"/>
      <c r="I121" s="193"/>
      <c r="J121" s="193"/>
      <c r="K121" s="193"/>
      <c r="L121" s="193"/>
      <c r="M121" s="193"/>
      <c r="N121" s="193"/>
      <c r="O121" s="193"/>
      <c r="P121" s="193"/>
      <c r="Q121" s="193"/>
      <c r="R121" s="193"/>
      <c r="S121" s="193"/>
      <c r="T121" s="193"/>
      <c r="U121" s="193"/>
      <c r="V121" s="193"/>
      <c r="W121" s="193"/>
      <c r="X121" s="193"/>
      <c r="Y121" s="193"/>
      <c r="Z121" s="193"/>
      <c r="AA121" s="193"/>
      <c r="AB121" s="193"/>
      <c r="AC121" s="193"/>
      <c r="AD121" s="193"/>
      <c r="AE121" s="193"/>
      <c r="AF121" s="193"/>
      <c r="AG121" s="193"/>
      <c r="AH121" s="193"/>
      <c r="AI121" s="193"/>
      <c r="AJ121" s="194"/>
      <c r="AP121" s="112">
        <v>50</v>
      </c>
      <c r="AQ121" s="113">
        <f t="shared" si="20"/>
        <v>0</v>
      </c>
    </row>
    <row r="122" spans="2:46" ht="15" customHeight="1" x14ac:dyDescent="0.3">
      <c r="B122" s="195"/>
      <c r="C122" s="196"/>
      <c r="D122" s="196"/>
      <c r="E122" s="196"/>
      <c r="F122" s="196"/>
      <c r="G122" s="196"/>
      <c r="H122" s="196"/>
      <c r="I122" s="196"/>
      <c r="J122" s="196"/>
      <c r="K122" s="196"/>
      <c r="L122" s="196"/>
      <c r="M122" s="196"/>
      <c r="N122" s="196"/>
      <c r="O122" s="196"/>
      <c r="P122" s="196"/>
      <c r="Q122" s="196"/>
      <c r="R122" s="196"/>
      <c r="S122" s="196"/>
      <c r="T122" s="196"/>
      <c r="U122" s="196"/>
      <c r="V122" s="196"/>
      <c r="W122" s="196"/>
      <c r="X122" s="196"/>
      <c r="Y122" s="196"/>
      <c r="Z122" s="196"/>
      <c r="AA122" s="196"/>
      <c r="AB122" s="196"/>
      <c r="AC122" s="196"/>
      <c r="AD122" s="196"/>
      <c r="AE122" s="196"/>
      <c r="AF122" s="196"/>
      <c r="AG122" s="196"/>
      <c r="AH122" s="196"/>
      <c r="AI122" s="196"/>
      <c r="AJ122" s="197"/>
      <c r="AP122" s="114">
        <v>100</v>
      </c>
      <c r="AQ122" s="115">
        <f t="shared" si="20"/>
        <v>0</v>
      </c>
      <c r="AR122" s="14" t="s">
        <v>424</v>
      </c>
    </row>
    <row r="123" spans="2:46" ht="15" customHeight="1" x14ac:dyDescent="0.3">
      <c r="B123" s="1" t="s">
        <v>339</v>
      </c>
      <c r="AJ123" s="137">
        <f>IF(ISBLANK(C127),0,IF(AO127="Yes","Detain the "&amp;AS123&amp;"-yr storm events to a "&amp;AR123&amp;"-yr discharge.",""))</f>
        <v>0</v>
      </c>
      <c r="AN123" s="15" t="s">
        <v>144</v>
      </c>
      <c r="AO123" s="15" t="s">
        <v>363</v>
      </c>
      <c r="AP123" s="15" t="s">
        <v>364</v>
      </c>
      <c r="AQ123" s="14" t="s">
        <v>365</v>
      </c>
      <c r="AR123" s="93" t="str">
        <f>IF(AO127="No","2, 5, 10, 25, 50, and 100",IF(R141&gt;0,R141,IF(AT127=0,AP127,IF(AT127=1,AP125,IF(AT127=2,AP127,IF(AT127=3,Tables!F35,""))))))</f>
        <v>2, 5, 10, 25, 50, and 100</v>
      </c>
      <c r="AS123" s="92" t="str">
        <f>IF(AO127="No","2, 5, 10, 25, 50, and 100",IF(R141&gt;0,AL141,IF(AT127=0,AS127,IF(AT127=1,AS125,IF(AT127=2,AS127,IF(AT127=3,Tables!F36,""))))))</f>
        <v>2, 5, 10, 25, 50, and 100</v>
      </c>
      <c r="AT123" s="119"/>
    </row>
    <row r="124" spans="2:46" ht="4.95" customHeight="1" x14ac:dyDescent="0.3"/>
    <row r="125" spans="2:46" ht="15" customHeight="1" x14ac:dyDescent="0.3">
      <c r="B125" s="4"/>
      <c r="C125" s="162"/>
      <c r="D125" s="21" t="s">
        <v>117</v>
      </c>
      <c r="F125" s="162"/>
      <c r="G125" s="21" t="s">
        <v>118</v>
      </c>
      <c r="I125" s="21" t="s">
        <v>342</v>
      </c>
      <c r="Y125" s="121"/>
      <c r="AL125" s="87">
        <f>IF(AND(ISBLANK(C125),ISBLANK(F125)),1,2)</f>
        <v>1</v>
      </c>
      <c r="AM125" s="87">
        <f>IF(ISBLANK(C125),1,2)</f>
        <v>1</v>
      </c>
      <c r="AN125" s="92">
        <f>IF($AO125="Yes",IF($AM125=2,$AQ125,0),0)</f>
        <v>0</v>
      </c>
      <c r="AO125" s="87" t="str">
        <f>Tables!F29</f>
        <v>No</v>
      </c>
      <c r="AP125" s="93">
        <f>Tables!F30</f>
        <v>25</v>
      </c>
      <c r="AQ125" s="92">
        <f>VLOOKUP(AP125,$AP$117:$AQ$122,2)</f>
        <v>0</v>
      </c>
      <c r="AR125" s="119"/>
      <c r="AS125" s="93" t="str">
        <f>Tables!F31</f>
        <v>25, 50, and 100</v>
      </c>
      <c r="AT125" s="135"/>
    </row>
    <row r="126" spans="2:46" ht="4.95" customHeight="1" x14ac:dyDescent="0.3">
      <c r="B126" s="4"/>
      <c r="C126" s="4"/>
      <c r="D126" s="4"/>
      <c r="E126" s="4"/>
      <c r="F126" s="4"/>
      <c r="G126" s="4"/>
      <c r="H126" s="4"/>
      <c r="I126" s="4"/>
      <c r="J126" s="4"/>
      <c r="K126" s="4"/>
      <c r="L126" s="4"/>
      <c r="M126" s="4"/>
      <c r="N126" s="4"/>
      <c r="O126" s="4"/>
      <c r="P126" s="4"/>
      <c r="Q126" s="4"/>
      <c r="R126" s="4"/>
      <c r="S126" s="4"/>
      <c r="T126" s="4"/>
      <c r="U126" s="4"/>
      <c r="V126" s="4"/>
      <c r="W126" s="4"/>
      <c r="X126" s="4"/>
      <c r="Z126" s="4"/>
      <c r="AA126" s="4"/>
      <c r="AB126" s="4"/>
      <c r="AC126" s="4"/>
      <c r="AD126" s="4"/>
      <c r="AE126" s="4"/>
      <c r="AF126" s="4"/>
      <c r="AG126" s="4"/>
      <c r="AH126" s="4"/>
      <c r="AI126" s="4"/>
      <c r="AJ126" s="4"/>
    </row>
    <row r="127" spans="2:46" ht="15" customHeight="1" x14ac:dyDescent="0.3">
      <c r="B127" s="4"/>
      <c r="C127" s="162"/>
      <c r="D127" s="21" t="s">
        <v>117</v>
      </c>
      <c r="F127" s="162"/>
      <c r="G127" s="21" t="s">
        <v>118</v>
      </c>
      <c r="I127" s="21" t="s">
        <v>343</v>
      </c>
      <c r="Y127" s="121"/>
      <c r="AL127" s="87">
        <f>IF(AND(ISBLANK(C127),ISBLANK(F127)),1,2)</f>
        <v>1</v>
      </c>
      <c r="AM127" s="87">
        <f>IF(ISBLANK(C127),1,2)</f>
        <v>1</v>
      </c>
      <c r="AN127" s="92">
        <f>IF($AO127="Yes",IF($AM127=2,$AQ127,0),0)</f>
        <v>0</v>
      </c>
      <c r="AO127" s="87" t="str">
        <f>Tables!F32</f>
        <v>No</v>
      </c>
      <c r="AP127" s="93">
        <f>IF(ISBLANK(R141),Tables!F33,R141)</f>
        <v>25</v>
      </c>
      <c r="AQ127" s="92">
        <f>VLOOKUP(AP127,$AP$117:$AQ$122,2)</f>
        <v>0</v>
      </c>
      <c r="AR127" s="119"/>
      <c r="AS127" s="92" t="str">
        <f>Tables!F34</f>
        <v>25, 50, and 100</v>
      </c>
      <c r="AT127" s="136">
        <f>IF(AND(ISBLANK(C125),ISBLANK(C127)),0,IF(AND(LEN(C125)&gt;0,ISBLANK(C127)),1,IF(AND(ISBLANK(C125),LEN(C127)&gt;0),2,3)))</f>
        <v>0</v>
      </c>
    </row>
    <row r="128" spans="2:46" ht="4.95" customHeight="1" x14ac:dyDescent="0.3">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row>
    <row r="129" spans="2:43" ht="15" customHeight="1" x14ac:dyDescent="0.3">
      <c r="B129" s="4"/>
      <c r="C129" s="4"/>
      <c r="D129" s="4"/>
      <c r="E129" s="4"/>
      <c r="F129" s="4"/>
      <c r="G129" s="4"/>
      <c r="H129" s="4"/>
      <c r="I129" s="162"/>
      <c r="J129" s="21" t="s">
        <v>117</v>
      </c>
      <c r="L129" s="162"/>
      <c r="M129" s="21" t="s">
        <v>118</v>
      </c>
      <c r="O129" s="21" t="s">
        <v>523</v>
      </c>
      <c r="AL129" s="87">
        <f>IF(AND(ISBLANK(I129),ISBLANK(L129)),1,2)</f>
        <v>1</v>
      </c>
      <c r="AM129" s="87">
        <f>IF(ISBLANK(L129),1,2)</f>
        <v>1</v>
      </c>
    </row>
    <row r="130" spans="2:43" ht="4.95" customHeight="1" x14ac:dyDescent="0.3">
      <c r="B130" s="4"/>
      <c r="C130" s="4"/>
      <c r="D130" s="4"/>
      <c r="E130" s="4"/>
      <c r="F130" s="4"/>
      <c r="G130" s="4"/>
      <c r="H130" s="4"/>
    </row>
    <row r="131" spans="2:43" ht="15" customHeight="1" x14ac:dyDescent="0.3">
      <c r="B131" s="4"/>
      <c r="C131" s="4"/>
      <c r="D131" s="4"/>
      <c r="E131" s="4"/>
      <c r="F131" s="4"/>
      <c r="G131" s="4"/>
      <c r="H131" s="4"/>
      <c r="I131" s="162"/>
      <c r="J131" s="21" t="s">
        <v>117</v>
      </c>
      <c r="L131" s="162"/>
      <c r="M131" s="21" t="s">
        <v>118</v>
      </c>
      <c r="O131" s="21" t="s">
        <v>524</v>
      </c>
      <c r="AL131" s="87">
        <f>IF(AND(ISBLANK(I131),ISBLANK(L131)),1,2)</f>
        <v>1</v>
      </c>
      <c r="AM131" s="87">
        <f>IF(ISBLANK(I131),1,2)</f>
        <v>1</v>
      </c>
    </row>
    <row r="132" spans="2:43" ht="4.95" customHeight="1" x14ac:dyDescent="0.3">
      <c r="B132" s="4"/>
      <c r="C132" s="4"/>
      <c r="D132" s="4"/>
      <c r="E132" s="4"/>
      <c r="F132" s="4"/>
      <c r="G132" s="4"/>
      <c r="H132" s="4"/>
    </row>
    <row r="133" spans="2:43" ht="15" customHeight="1" x14ac:dyDescent="0.3">
      <c r="B133" s="4"/>
      <c r="C133" s="4"/>
      <c r="D133" s="4"/>
      <c r="E133" s="4"/>
      <c r="F133" s="4"/>
      <c r="G133" s="4"/>
      <c r="H133" s="4"/>
      <c r="O133" s="162"/>
      <c r="P133" s="21" t="s">
        <v>117</v>
      </c>
      <c r="R133" s="162"/>
      <c r="S133" s="21" t="s">
        <v>118</v>
      </c>
      <c r="U133" s="21" t="s">
        <v>423</v>
      </c>
      <c r="AL133" s="87">
        <f>IF(AND(ISBLANK(O133),ISBLANK(R133)),1,2)</f>
        <v>1</v>
      </c>
      <c r="AM133" s="87">
        <f>IF(ISBLANK(R133),1,2)</f>
        <v>1</v>
      </c>
    </row>
    <row r="134" spans="2:43" ht="4.95" customHeight="1" x14ac:dyDescent="0.3">
      <c r="B134" s="4"/>
      <c r="C134" s="4"/>
      <c r="D134" s="4"/>
      <c r="E134" s="4"/>
      <c r="F134" s="4"/>
      <c r="G134" s="4"/>
      <c r="H134" s="4"/>
    </row>
    <row r="135" spans="2:43" ht="15" customHeight="1" x14ac:dyDescent="0.3">
      <c r="B135" s="4"/>
      <c r="C135" s="4"/>
      <c r="D135" s="4"/>
      <c r="E135" s="4"/>
      <c r="F135" s="4"/>
      <c r="G135" s="4"/>
      <c r="H135" s="4"/>
      <c r="O135" s="162"/>
      <c r="P135" s="21" t="s">
        <v>117</v>
      </c>
      <c r="R135" s="162"/>
      <c r="S135" s="21" t="s">
        <v>118</v>
      </c>
      <c r="U135" s="21" t="s">
        <v>519</v>
      </c>
      <c r="AL135" s="87">
        <f>IF(AND(ISBLANK(O135),ISBLANK(R135)),1,2)</f>
        <v>1</v>
      </c>
      <c r="AM135" s="87">
        <f>IF(ISBLANK(R135),1,2)</f>
        <v>1</v>
      </c>
    </row>
    <row r="136" spans="2:43" ht="4.95" customHeight="1" x14ac:dyDescent="0.3">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row>
    <row r="137" spans="2:43" ht="15" customHeight="1" x14ac:dyDescent="0.3">
      <c r="B137" s="4"/>
      <c r="C137" s="4"/>
      <c r="D137" s="4"/>
      <c r="E137" s="4"/>
      <c r="F137" s="4"/>
      <c r="G137" s="4"/>
      <c r="H137" s="4"/>
      <c r="I137" s="162"/>
      <c r="J137" s="21" t="s">
        <v>117</v>
      </c>
      <c r="L137" s="162"/>
      <c r="M137" s="21" t="s">
        <v>118</v>
      </c>
      <c r="O137" s="21" t="str">
        <f>"The "&amp;Tables!$F$23&amp;" will allow a different post release rate design storm."</f>
        <v>The County will allow a different post release rate design storm.</v>
      </c>
      <c r="AL137" s="87">
        <f>IF(AND(ISBLANK(I137),ISBLANK(L137)),1,2)</f>
        <v>1</v>
      </c>
      <c r="AM137" s="87">
        <f>IF(ISBLANK(I137),1,2)</f>
        <v>1</v>
      </c>
    </row>
    <row r="138" spans="2:43" ht="4.95" customHeight="1" x14ac:dyDescent="0.3">
      <c r="B138" s="4"/>
      <c r="C138" s="4"/>
      <c r="D138" s="4"/>
      <c r="E138" s="4"/>
      <c r="F138" s="4"/>
      <c r="G138" s="4"/>
      <c r="H138" s="4"/>
    </row>
    <row r="139" spans="2:43" ht="15" customHeight="1" x14ac:dyDescent="0.3">
      <c r="B139" s="4"/>
      <c r="C139" s="4"/>
      <c r="D139" s="4"/>
      <c r="E139" s="4"/>
      <c r="F139" s="4"/>
      <c r="G139" s="4"/>
      <c r="H139" s="4"/>
      <c r="O139" s="162"/>
      <c r="P139" s="21" t="s">
        <v>117</v>
      </c>
      <c r="R139" s="162"/>
      <c r="S139" s="21" t="s">
        <v>118</v>
      </c>
      <c r="U139" s="21" t="str">
        <f>"Written approval from the "&amp;Tables!$F$23&amp;" is attached?"</f>
        <v>Written approval from the County is attached?</v>
      </c>
      <c r="AL139" s="87">
        <f>IF(AND(ISBLANK(O139),ISBLANK(R139)),1,2)</f>
        <v>1</v>
      </c>
      <c r="AM139" s="87">
        <f>IF(ISBLANK(R139),1,2)</f>
        <v>1</v>
      </c>
    </row>
    <row r="140" spans="2:43" ht="4.95" customHeight="1" x14ac:dyDescent="0.3">
      <c r="B140" s="4"/>
      <c r="C140" s="4"/>
      <c r="D140" s="4"/>
      <c r="E140" s="4"/>
      <c r="F140" s="4"/>
      <c r="G140" s="4"/>
      <c r="H140" s="4"/>
    </row>
    <row r="141" spans="2:43" ht="15" customHeight="1" x14ac:dyDescent="0.3">
      <c r="B141" s="4"/>
      <c r="C141" s="4"/>
      <c r="D141" s="4"/>
      <c r="E141" s="4"/>
      <c r="F141" s="4"/>
      <c r="G141" s="4"/>
      <c r="H141" s="4"/>
      <c r="R141" s="161"/>
      <c r="S141" s="160" t="s">
        <v>482</v>
      </c>
      <c r="U141" s="21" t="str">
        <f>"Post release rate design storm allowed by the "&amp;Tables!$F$23&amp;"."</f>
        <v>Post release rate design storm allowed by the County.</v>
      </c>
      <c r="AL141" s="216">
        <f>IF(ISBLANK(R141),0,VLOOKUP(R141,Storms[],2))</f>
        <v>0</v>
      </c>
      <c r="AM141" s="217"/>
    </row>
    <row r="142" spans="2:43" ht="4.95" customHeight="1" x14ac:dyDescent="0.3">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row>
    <row r="143" spans="2:43" ht="15" customHeight="1" x14ac:dyDescent="0.3">
      <c r="B143" s="4"/>
      <c r="C143" s="162"/>
      <c r="D143" s="21" t="s">
        <v>117</v>
      </c>
      <c r="F143" s="162"/>
      <c r="G143" s="21" t="s">
        <v>118</v>
      </c>
      <c r="I143" s="21" t="str">
        <f>"Does the project have "&amp;Tables!F37&amp;" for the adjacent property?"</f>
        <v>Does the project have Drainage Rights for the adjacent property?</v>
      </c>
      <c r="AL143" s="87">
        <f>IF(AND(ISBLANK(C143),ISBLANK(F143)),1,2)</f>
        <v>1</v>
      </c>
      <c r="AM143" s="87">
        <f>IF(ISBLANK(F143),1,2)</f>
        <v>1</v>
      </c>
      <c r="AN143" s="87">
        <f>IF(ISBLANK(C143),1,2)</f>
        <v>1</v>
      </c>
      <c r="AO143" s="87">
        <f>IF(ISBLANK(C125),0,2)</f>
        <v>0</v>
      </c>
      <c r="AP143" s="87">
        <f>IF(ISBLANK(C127),0,2)</f>
        <v>0</v>
      </c>
      <c r="AQ143" s="87">
        <f>IF(ISBLANK(F143),0,SUM(AO143:AP143))</f>
        <v>0</v>
      </c>
    </row>
    <row r="144" spans="2:43" ht="4.95" customHeight="1" x14ac:dyDescent="0.3">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row>
    <row r="145" spans="2:40" ht="15" customHeight="1" x14ac:dyDescent="0.3">
      <c r="C145" s="162"/>
      <c r="D145" s="21" t="s">
        <v>117</v>
      </c>
      <c r="F145" s="162"/>
      <c r="G145" s="21" t="s">
        <v>118</v>
      </c>
      <c r="I145" s="21" t="s">
        <v>340</v>
      </c>
      <c r="AL145" s="87">
        <f>IF(AND(ISBLANK(C145),ISBLANK(F145)),1,2)</f>
        <v>1</v>
      </c>
      <c r="AM145" s="87">
        <f>IF(ISBLANK(F145),1,2)</f>
        <v>1</v>
      </c>
    </row>
    <row r="146" spans="2:40" ht="4.95" customHeight="1" x14ac:dyDescent="0.3"/>
    <row r="147" spans="2:40" ht="15" customHeight="1" x14ac:dyDescent="0.3">
      <c r="C147" s="162"/>
      <c r="D147" s="21" t="s">
        <v>117</v>
      </c>
      <c r="F147" s="162"/>
      <c r="G147" s="21" t="s">
        <v>118</v>
      </c>
      <c r="I147" s="21" t="s">
        <v>346</v>
      </c>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87">
        <f>IF(AND(ISBLANK(C147),ISBLANK(F147)),1,2)</f>
        <v>1</v>
      </c>
      <c r="AM147" s="87">
        <f>IF(ISBLANK(C147),1,2)</f>
        <v>1</v>
      </c>
    </row>
    <row r="148" spans="2:40" ht="4.95" customHeight="1" x14ac:dyDescent="0.3">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row>
    <row r="149" spans="2:40" ht="15" customHeight="1" x14ac:dyDescent="0.3">
      <c r="I149" s="162"/>
      <c r="J149" s="21" t="s">
        <v>117</v>
      </c>
      <c r="L149" s="162"/>
      <c r="M149" s="21" t="s">
        <v>118</v>
      </c>
      <c r="N149" s="4"/>
      <c r="O149" s="21" t="s">
        <v>338</v>
      </c>
      <c r="P149" s="4"/>
      <c r="Q149" s="4"/>
      <c r="R149" s="4"/>
      <c r="S149" s="4"/>
      <c r="T149" s="4"/>
      <c r="U149" s="4"/>
      <c r="V149" s="4"/>
      <c r="W149" s="4"/>
      <c r="X149" s="4"/>
      <c r="Y149" s="4"/>
      <c r="Z149" s="4"/>
      <c r="AA149" s="4"/>
      <c r="AB149" s="4"/>
      <c r="AC149" s="4"/>
      <c r="AD149" s="4"/>
      <c r="AE149" s="4"/>
      <c r="AF149" s="4"/>
      <c r="AG149" s="4"/>
      <c r="AH149" s="4"/>
      <c r="AI149" s="4"/>
      <c r="AJ149" s="4"/>
      <c r="AK149" s="4"/>
      <c r="AL149" s="87">
        <f>IF(ISBLANK(I149),1,2)</f>
        <v>1</v>
      </c>
      <c r="AM149" s="87">
        <f>IF(ISBLANK(L149),1,2)</f>
        <v>1</v>
      </c>
      <c r="AN149" s="87">
        <f>SUM(AL149:AM149)</f>
        <v>2</v>
      </c>
    </row>
    <row r="150" spans="2:40" ht="4.95" customHeight="1" x14ac:dyDescent="0.3">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row>
    <row r="151" spans="2:40" ht="15" customHeight="1" x14ac:dyDescent="0.3">
      <c r="C151" s="162"/>
      <c r="D151" s="21" t="s">
        <v>117</v>
      </c>
      <c r="F151" s="162"/>
      <c r="G151" s="21" t="s">
        <v>118</v>
      </c>
      <c r="I151" s="21" t="s">
        <v>513</v>
      </c>
      <c r="AL151" s="87">
        <f>IF(AND(ISBLANK(C151),ISBLANK(F151)),1,2)</f>
        <v>1</v>
      </c>
      <c r="AM151" s="87">
        <f>IF(ISBLANK(F151),1,2)</f>
        <v>1</v>
      </c>
    </row>
    <row r="152" spans="2:40" ht="4.95" customHeight="1" x14ac:dyDescent="0.3"/>
    <row r="153" spans="2:40" ht="15" customHeight="1" x14ac:dyDescent="0.3">
      <c r="C153" s="162"/>
      <c r="D153" s="21" t="s">
        <v>117</v>
      </c>
      <c r="F153" s="162"/>
      <c r="G153" s="21" t="s">
        <v>118</v>
      </c>
      <c r="I153" s="21" t="s">
        <v>399</v>
      </c>
      <c r="AL153" s="87">
        <f>IF(AND(ISBLANK(C153),ISBLANK(F153)),1,2)</f>
        <v>1</v>
      </c>
      <c r="AM153" s="87">
        <f>IF(ISBLANK(F153),1,2)</f>
        <v>1</v>
      </c>
      <c r="AN153" s="87">
        <f>IF(AND(LEN(C153)&gt;0,LEN(F153)&gt;0),4,1)</f>
        <v>1</v>
      </c>
    </row>
    <row r="154" spans="2:40" ht="4.95" customHeight="1" x14ac:dyDescent="0.3">
      <c r="AL154" s="15"/>
      <c r="AM154" s="15"/>
      <c r="AN154" s="15"/>
    </row>
    <row r="155" spans="2:40" ht="15" customHeight="1" x14ac:dyDescent="0.3">
      <c r="C155" s="162"/>
      <c r="D155" s="21" t="s">
        <v>117</v>
      </c>
      <c r="F155" s="162"/>
      <c r="G155" s="21" t="s">
        <v>118</v>
      </c>
      <c r="I155" s="21" t="s">
        <v>514</v>
      </c>
      <c r="AL155" s="87">
        <f>IF(AND(ISBLANK(C155),ISBLANK(F155)),1,2)</f>
        <v>1</v>
      </c>
      <c r="AM155" s="87">
        <f>IF(ISBLANK(C155),1,2)</f>
        <v>1</v>
      </c>
      <c r="AN155" s="15"/>
    </row>
    <row r="156" spans="2:40" ht="15" customHeight="1" x14ac:dyDescent="0.3">
      <c r="I156" s="21" t="str">
        <f>IF(AND(AM155=2,Tables!$F$14="Prattville"),"The City shall waive the Permit Application Review Fee","")</f>
        <v/>
      </c>
      <c r="AL156" s="15"/>
      <c r="AM156" s="15"/>
      <c r="AN156" s="15"/>
    </row>
    <row r="157" spans="2:40" ht="15" customHeight="1" x14ac:dyDescent="0.3">
      <c r="AL157" s="15"/>
      <c r="AM157" s="15"/>
      <c r="AN157" s="15"/>
    </row>
    <row r="158" spans="2:40" ht="15" customHeight="1" x14ac:dyDescent="0.3">
      <c r="B158" s="200">
        <f>Tables!$F$13</f>
        <v>46266</v>
      </c>
      <c r="C158" s="200"/>
      <c r="D158" s="200"/>
      <c r="E158" s="200"/>
      <c r="F158" s="200"/>
      <c r="G158" s="200"/>
      <c r="H158" s="200"/>
      <c r="R158" s="186" t="s">
        <v>221</v>
      </c>
      <c r="S158" s="186"/>
      <c r="T158" s="186"/>
      <c r="U158" s="186"/>
    </row>
    <row r="159" spans="2:40" ht="15" customHeight="1" x14ac:dyDescent="0.3">
      <c r="C159" s="2" t="s">
        <v>1</v>
      </c>
      <c r="D159" s="199">
        <f>IF(ISBLANK($E$7),0,$E$7)</f>
        <v>0</v>
      </c>
      <c r="E159" s="199"/>
      <c r="F159" s="199"/>
      <c r="G159" s="199"/>
      <c r="H159" s="199"/>
      <c r="I159" s="199"/>
      <c r="J159" s="199"/>
      <c r="K159" s="199"/>
      <c r="L159" s="199"/>
      <c r="M159" s="199"/>
      <c r="N159" s="199"/>
      <c r="O159" s="199"/>
      <c r="P159" s="199"/>
      <c r="Q159" s="199"/>
      <c r="R159" s="199"/>
      <c r="S159" s="199"/>
      <c r="T159" s="199"/>
      <c r="U159" s="199"/>
      <c r="V159" s="199"/>
      <c r="W159" s="199"/>
      <c r="X159" s="199"/>
      <c r="Y159" s="199"/>
      <c r="Z159" s="33"/>
      <c r="AD159" s="2" t="s">
        <v>19</v>
      </c>
      <c r="AE159" s="179">
        <f>IF(ISBLANK($AE$7),0,$AE$7)</f>
        <v>0</v>
      </c>
      <c r="AF159" s="179"/>
      <c r="AG159" s="179"/>
      <c r="AH159" s="179"/>
      <c r="AI159" s="179"/>
      <c r="AJ159" s="179"/>
    </row>
    <row r="160" spans="2:40" ht="15" customHeight="1" x14ac:dyDescent="0.3">
      <c r="C160" s="34"/>
      <c r="D160" s="34"/>
      <c r="E160" s="34"/>
      <c r="F160" s="34"/>
      <c r="G160" s="34"/>
      <c r="H160" s="34"/>
      <c r="I160" s="34"/>
      <c r="J160" s="2"/>
      <c r="K160" s="2"/>
      <c r="L160" s="2"/>
      <c r="M160" s="2"/>
      <c r="N160" s="34"/>
      <c r="O160" s="33"/>
      <c r="P160" s="33"/>
      <c r="Q160" s="33"/>
      <c r="R160" s="33"/>
      <c r="S160" s="33"/>
      <c r="T160" s="33"/>
      <c r="U160" s="33"/>
      <c r="V160" s="33"/>
      <c r="W160" s="33"/>
      <c r="X160" s="33"/>
      <c r="Y160" s="33"/>
      <c r="Z160" s="33"/>
      <c r="AD160" s="2" t="s">
        <v>32</v>
      </c>
      <c r="AE160" s="187">
        <f>IF(ISBLANK($AE$8),0,$AE$8)</f>
        <v>0</v>
      </c>
      <c r="AF160" s="187"/>
      <c r="AG160" s="187"/>
      <c r="AH160" s="187"/>
      <c r="AI160" s="187"/>
      <c r="AJ160" s="187"/>
    </row>
    <row r="161" spans="2:35" ht="15" customHeight="1" x14ac:dyDescent="0.3">
      <c r="B161" s="1" t="s">
        <v>17</v>
      </c>
      <c r="C161" s="1"/>
      <c r="D161" s="1"/>
      <c r="E161" s="1"/>
      <c r="F161" s="1"/>
      <c r="G161" s="1"/>
      <c r="H161" s="1"/>
      <c r="I161" s="1"/>
    </row>
    <row r="162" spans="2:35" ht="15" customHeight="1" x14ac:dyDescent="0.3">
      <c r="B162" s="83" t="s">
        <v>239</v>
      </c>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row>
    <row r="163" spans="2:35" ht="15" customHeight="1" x14ac:dyDescent="0.3">
      <c r="B163" s="48"/>
      <c r="C163" s="22" t="s">
        <v>106</v>
      </c>
      <c r="D163" s="83" t="str">
        <f>"Is designed in accordance with the latest version of the "&amp;Tables!$F$23&amp;"'s requirements;"</f>
        <v>Is designed in accordance with the latest version of the County's requirements;</v>
      </c>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row>
    <row r="164" spans="2:35" ht="15" customHeight="1" x14ac:dyDescent="0.3">
      <c r="B164" s="48"/>
      <c r="C164" s="22" t="s">
        <v>106</v>
      </c>
      <c r="D164" s="83" t="s">
        <v>237</v>
      </c>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row>
    <row r="165" spans="2:35" ht="15" customHeight="1" x14ac:dyDescent="0.3">
      <c r="B165" s="48"/>
      <c r="C165" s="22" t="s">
        <v>106</v>
      </c>
      <c r="D165" s="83" t="s">
        <v>401</v>
      </c>
      <c r="E165" s="83"/>
      <c r="F165" s="83"/>
      <c r="G165" s="83"/>
      <c r="H165" s="83"/>
      <c r="I165" s="83"/>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row>
    <row r="166" spans="2:35" ht="15" customHeight="1" x14ac:dyDescent="0.3">
      <c r="B166" s="48"/>
      <c r="C166" s="22"/>
      <c r="D166" s="83" t="s">
        <v>402</v>
      </c>
      <c r="E166" s="83"/>
      <c r="F166" s="83"/>
      <c r="G166" s="83"/>
      <c r="H166" s="83"/>
      <c r="I166" s="83"/>
      <c r="J166" s="83"/>
      <c r="K166" s="83"/>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row>
    <row r="167" spans="2:35" ht="15" customHeight="1" x14ac:dyDescent="0.3">
      <c r="B167" s="48"/>
      <c r="C167" s="22" t="s">
        <v>106</v>
      </c>
      <c r="D167" s="83" t="s">
        <v>240</v>
      </c>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row>
    <row r="168" spans="2:35" ht="15" customHeight="1" x14ac:dyDescent="0.3">
      <c r="B168" s="48"/>
      <c r="C168" s="22" t="s">
        <v>106</v>
      </c>
      <c r="D168" s="83" t="s">
        <v>238</v>
      </c>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row>
    <row r="169" spans="2:35" ht="15" customHeight="1" x14ac:dyDescent="0.3">
      <c r="B169" s="48"/>
      <c r="C169" s="22"/>
      <c r="D169" s="83"/>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row>
    <row r="170" spans="2:35" ht="15" customHeight="1" x14ac:dyDescent="0.3">
      <c r="E170" s="2" t="s">
        <v>195</v>
      </c>
      <c r="F170" s="201"/>
      <c r="G170" s="201"/>
      <c r="H170" s="201"/>
      <c r="I170" s="201"/>
      <c r="J170" s="201"/>
      <c r="K170" s="201"/>
      <c r="L170" s="201"/>
      <c r="M170" s="201"/>
      <c r="N170" s="201"/>
      <c r="O170" s="201"/>
      <c r="P170" s="201"/>
      <c r="Q170" s="201"/>
      <c r="R170" s="201"/>
      <c r="S170" s="201"/>
      <c r="T170" s="201"/>
      <c r="U170" s="201"/>
      <c r="V170" s="201"/>
      <c r="W170" s="201"/>
      <c r="X170" s="201"/>
      <c r="Y170" s="201"/>
      <c r="Z170" s="201"/>
      <c r="AC170" s="2" t="s">
        <v>307</v>
      </c>
      <c r="AD170" s="2"/>
      <c r="AE170" s="2"/>
      <c r="AF170" s="2"/>
    </row>
    <row r="171" spans="2:35" ht="15" customHeight="1" x14ac:dyDescent="0.3">
      <c r="E171" s="2" t="s">
        <v>128</v>
      </c>
      <c r="F171" s="202"/>
      <c r="G171" s="202"/>
      <c r="H171" s="202"/>
      <c r="I171" s="202"/>
      <c r="J171" s="202"/>
      <c r="K171" s="202"/>
      <c r="L171" s="202"/>
      <c r="M171" s="202"/>
      <c r="N171" s="202"/>
      <c r="O171" s="202"/>
      <c r="P171" s="202"/>
      <c r="Q171" s="202"/>
      <c r="R171" s="202"/>
      <c r="S171" s="202"/>
      <c r="T171" s="202"/>
      <c r="U171" s="202"/>
      <c r="V171" s="202"/>
      <c r="W171" s="202"/>
      <c r="X171" s="202"/>
      <c r="Y171" s="202"/>
      <c r="Z171" s="202"/>
    </row>
    <row r="172" spans="2:35" ht="15" customHeight="1" x14ac:dyDescent="0.3">
      <c r="E172" s="2" t="s">
        <v>129</v>
      </c>
      <c r="F172" s="202"/>
      <c r="G172" s="202"/>
      <c r="H172" s="202"/>
      <c r="I172" s="202"/>
      <c r="J172" s="202"/>
      <c r="K172" s="202"/>
      <c r="L172" s="202"/>
      <c r="M172" s="202"/>
      <c r="N172" s="202"/>
      <c r="O172" s="202"/>
      <c r="P172" s="202"/>
      <c r="Q172" s="202"/>
      <c r="R172" s="202"/>
      <c r="S172" s="202"/>
      <c r="T172" s="202"/>
      <c r="U172" s="202"/>
      <c r="V172" s="202"/>
      <c r="W172" s="202"/>
      <c r="X172" s="202"/>
      <c r="Y172" s="202"/>
      <c r="Z172" s="202"/>
    </row>
    <row r="173" spans="2:35" ht="15" customHeight="1" x14ac:dyDescent="0.3">
      <c r="E173" s="2" t="s">
        <v>264</v>
      </c>
      <c r="F173" s="202"/>
      <c r="G173" s="202"/>
      <c r="H173" s="202"/>
      <c r="I173" s="202"/>
      <c r="J173" s="202"/>
      <c r="K173" s="202"/>
      <c r="L173" s="202"/>
      <c r="M173" s="55"/>
      <c r="N173" s="55"/>
      <c r="O173" s="100" t="s">
        <v>132</v>
      </c>
      <c r="P173" s="202"/>
      <c r="Q173" s="202"/>
      <c r="R173" s="202"/>
      <c r="S173" s="202"/>
      <c r="T173" s="55"/>
      <c r="U173" s="55"/>
      <c r="V173" s="55"/>
      <c r="W173" s="100" t="s">
        <v>133</v>
      </c>
      <c r="X173" s="203"/>
      <c r="Y173" s="203"/>
      <c r="Z173" s="203"/>
    </row>
    <row r="174" spans="2:35" ht="15" customHeight="1" x14ac:dyDescent="0.3">
      <c r="E174" s="2" t="s">
        <v>130</v>
      </c>
      <c r="F174" s="204"/>
      <c r="G174" s="204"/>
      <c r="H174" s="204"/>
      <c r="I174" s="204"/>
      <c r="J174" s="204"/>
      <c r="K174" s="204"/>
      <c r="L174" s="204"/>
      <c r="M174" s="204"/>
      <c r="N174" s="204"/>
      <c r="O174" s="204"/>
      <c r="P174" s="204"/>
      <c r="Q174" s="204"/>
      <c r="R174" s="204"/>
      <c r="S174" s="204"/>
      <c r="T174" s="204"/>
      <c r="U174" s="204"/>
      <c r="V174" s="204"/>
      <c r="W174" s="204"/>
      <c r="X174" s="204"/>
      <c r="Y174" s="204"/>
      <c r="Z174" s="204"/>
    </row>
    <row r="175" spans="2:35" ht="15" customHeight="1" x14ac:dyDescent="0.3">
      <c r="E175" s="2" t="s">
        <v>134</v>
      </c>
      <c r="F175" s="198"/>
      <c r="G175" s="198"/>
      <c r="H175" s="198"/>
      <c r="I175" s="198"/>
      <c r="J175" s="198"/>
      <c r="V175" s="48"/>
      <c r="W175" s="48"/>
      <c r="X175" s="48"/>
    </row>
    <row r="176" spans="2:35" ht="15" customHeight="1" x14ac:dyDescent="0.3">
      <c r="E176" s="2"/>
      <c r="F176" s="55"/>
      <c r="G176" s="55"/>
      <c r="H176" s="55"/>
      <c r="I176" s="55"/>
      <c r="J176" s="55"/>
      <c r="V176" s="48"/>
      <c r="W176" s="48"/>
      <c r="X176" s="48"/>
    </row>
    <row r="177" spans="2:38" ht="15" customHeight="1" x14ac:dyDescent="0.3">
      <c r="E177" s="2" t="s">
        <v>196</v>
      </c>
      <c r="F177" s="78"/>
      <c r="G177" s="78"/>
      <c r="H177" s="78"/>
      <c r="I177" s="78"/>
      <c r="J177" s="78"/>
      <c r="K177" s="78"/>
      <c r="L177" s="78"/>
      <c r="M177" s="78"/>
      <c r="N177" s="78"/>
      <c r="O177" s="78"/>
      <c r="P177" s="78"/>
      <c r="Q177" s="78"/>
      <c r="R177" s="78"/>
      <c r="S177" s="78"/>
      <c r="T177" s="78"/>
      <c r="U177" s="78"/>
      <c r="V177" s="48"/>
      <c r="W177" s="48"/>
      <c r="X177" s="48"/>
      <c r="AC177" s="2" t="s">
        <v>191</v>
      </c>
      <c r="AD177" s="188"/>
      <c r="AE177" s="188"/>
      <c r="AF177" s="188"/>
      <c r="AG177" s="188"/>
      <c r="AH177" s="188"/>
    </row>
    <row r="178" spans="2:38" ht="15" customHeight="1" x14ac:dyDescent="0.3"/>
    <row r="179" spans="2:38" ht="15" customHeight="1" x14ac:dyDescent="0.3">
      <c r="B179" s="37" t="s">
        <v>80</v>
      </c>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9"/>
      <c r="AL179" s="14" t="s">
        <v>268</v>
      </c>
    </row>
    <row r="180" spans="2:38" ht="15" customHeight="1" x14ac:dyDescent="0.3">
      <c r="B180" s="40"/>
      <c r="C180" s="9"/>
      <c r="D180" s="9"/>
      <c r="E180" s="9"/>
      <c r="F180" s="9"/>
      <c r="G180" s="9"/>
      <c r="H180" s="9"/>
      <c r="I180" s="9"/>
      <c r="J180" s="41" t="s">
        <v>81</v>
      </c>
      <c r="K180" s="41"/>
      <c r="L180" s="42" t="s">
        <v>212</v>
      </c>
      <c r="M180" s="41"/>
      <c r="N180" s="41"/>
      <c r="O180" s="9"/>
      <c r="P180" s="9"/>
      <c r="Q180" s="9"/>
      <c r="R180" s="9"/>
      <c r="S180" s="9"/>
      <c r="T180" s="9"/>
      <c r="U180" s="9"/>
      <c r="V180" s="9"/>
      <c r="W180" s="9"/>
      <c r="X180" s="9"/>
      <c r="Y180" s="9"/>
      <c r="Z180" s="9"/>
      <c r="AA180" s="9"/>
      <c r="AB180" s="9"/>
      <c r="AC180" s="9"/>
      <c r="AD180" s="9"/>
      <c r="AE180" s="9"/>
      <c r="AF180" s="9"/>
      <c r="AG180" s="9"/>
      <c r="AH180" s="9"/>
      <c r="AI180" s="9"/>
      <c r="AJ180" s="43"/>
      <c r="AL180" s="87">
        <f>SUM(AL182:AL199)</f>
        <v>14</v>
      </c>
    </row>
    <row r="181" spans="2:38" ht="15" customHeight="1" x14ac:dyDescent="0.3">
      <c r="B181" s="40"/>
      <c r="C181" s="9"/>
      <c r="D181" s="9"/>
      <c r="E181" s="9"/>
      <c r="F181" s="9"/>
      <c r="G181" s="9"/>
      <c r="H181" s="9"/>
      <c r="I181" s="9"/>
      <c r="J181" s="10" t="s">
        <v>397</v>
      </c>
      <c r="K181" s="41"/>
      <c r="L181" s="9" t="str">
        <f>IF(ISBLANK(AC6),Tables!J19,"")</f>
        <v>Parcel No. has not been provided</v>
      </c>
      <c r="M181" s="41"/>
      <c r="N181" s="41"/>
      <c r="O181" s="9"/>
      <c r="P181" s="9"/>
      <c r="Q181" s="9"/>
      <c r="R181" s="9"/>
      <c r="S181" s="9"/>
      <c r="T181" s="9"/>
      <c r="U181" s="9"/>
      <c r="V181" s="9"/>
      <c r="W181" s="9"/>
      <c r="X181" s="9"/>
      <c r="Y181" s="9"/>
      <c r="Z181" s="9"/>
      <c r="AA181" s="9"/>
      <c r="AB181" s="9"/>
      <c r="AC181" s="9"/>
      <c r="AD181" s="9"/>
      <c r="AE181" s="9"/>
      <c r="AF181" s="9"/>
      <c r="AG181" s="9"/>
      <c r="AH181" s="9"/>
      <c r="AI181" s="9"/>
      <c r="AJ181" s="43"/>
      <c r="AL181" s="87">
        <f>IF(L181="",0,1)</f>
        <v>1</v>
      </c>
    </row>
    <row r="182" spans="2:38" ht="15" customHeight="1" x14ac:dyDescent="0.3">
      <c r="B182" s="40"/>
      <c r="C182" s="9"/>
      <c r="D182" s="9"/>
      <c r="E182" s="9"/>
      <c r="F182" s="9"/>
      <c r="G182" s="9"/>
      <c r="H182" s="9"/>
      <c r="I182" s="9"/>
      <c r="J182" s="10" t="s">
        <v>82</v>
      </c>
      <c r="K182" s="10"/>
      <c r="L182" s="9" t="str">
        <f>IF(AND(AL28&lt;6,AM28=6),Tables!J2,IF(AND(AL28=6,AM28=6),"",Tables!J2))</f>
        <v>Pre Total not completed</v>
      </c>
      <c r="M182" s="10"/>
      <c r="N182" s="10"/>
      <c r="O182" s="9"/>
      <c r="P182" s="9"/>
      <c r="Q182" s="9"/>
      <c r="R182" s="9"/>
      <c r="S182" s="9"/>
      <c r="T182" s="9"/>
      <c r="U182" s="9"/>
      <c r="V182" s="9"/>
      <c r="W182" s="9"/>
      <c r="X182" s="9"/>
      <c r="Y182" s="9"/>
      <c r="Z182" s="9"/>
      <c r="AA182" s="9"/>
      <c r="AB182" s="9"/>
      <c r="AC182" s="9"/>
      <c r="AD182" s="9"/>
      <c r="AE182" s="9"/>
      <c r="AF182" s="9"/>
      <c r="AG182" s="9"/>
      <c r="AH182" s="9"/>
      <c r="AI182" s="9"/>
      <c r="AJ182" s="43"/>
      <c r="AL182" s="87">
        <f>IF(L182="",0,1)</f>
        <v>1</v>
      </c>
    </row>
    <row r="183" spans="2:38" ht="15" customHeight="1" x14ac:dyDescent="0.3">
      <c r="B183" s="40"/>
      <c r="C183" s="9"/>
      <c r="D183" s="9"/>
      <c r="E183" s="9"/>
      <c r="F183" s="9"/>
      <c r="G183" s="9"/>
      <c r="H183" s="9"/>
      <c r="I183" s="9"/>
      <c r="J183" s="10" t="s">
        <v>83</v>
      </c>
      <c r="K183" s="10"/>
      <c r="L183" s="9" t="str">
        <f>IF(AND(AL41&lt;6,AM41=6),Tables!J3,IF(AND(AL41=6,AM41=6),"",Tables!J3))</f>
        <v>Post Total not completed</v>
      </c>
      <c r="M183" s="10"/>
      <c r="N183" s="10"/>
      <c r="O183" s="9"/>
      <c r="P183" s="9"/>
      <c r="Q183" s="9"/>
      <c r="R183" s="9"/>
      <c r="S183" s="9"/>
      <c r="T183" s="9"/>
      <c r="U183" s="9"/>
      <c r="V183" s="9"/>
      <c r="W183" s="9"/>
      <c r="X183" s="9"/>
      <c r="Y183" s="9"/>
      <c r="Z183" s="9"/>
      <c r="AA183" s="9"/>
      <c r="AB183" s="9"/>
      <c r="AC183" s="9"/>
      <c r="AD183" s="9"/>
      <c r="AE183" s="9"/>
      <c r="AF183" s="9"/>
      <c r="AG183" s="9"/>
      <c r="AH183" s="9"/>
      <c r="AI183" s="9"/>
      <c r="AJ183" s="43"/>
      <c r="AL183" s="87">
        <f t="shared" ref="AL183:AL199" si="21">IF(L183="",0,1)</f>
        <v>1</v>
      </c>
    </row>
    <row r="184" spans="2:38" ht="15" customHeight="1" x14ac:dyDescent="0.3">
      <c r="B184" s="40"/>
      <c r="C184" s="9"/>
      <c r="D184" s="9"/>
      <c r="E184" s="9"/>
      <c r="F184" s="9"/>
      <c r="G184" s="9"/>
      <c r="H184" s="9"/>
      <c r="I184" s="9"/>
      <c r="J184" s="10" t="s">
        <v>435</v>
      </c>
      <c r="K184" s="10"/>
      <c r="L184" s="9" t="str">
        <f>IF(AM81=3,"",IF(AM83&gt;0,Tables!J20,""))</f>
        <v>Outlet protection section not completed</v>
      </c>
      <c r="M184" s="10"/>
      <c r="N184" s="10"/>
      <c r="O184" s="9"/>
      <c r="P184" s="9"/>
      <c r="Q184" s="9"/>
      <c r="R184" s="9"/>
      <c r="S184" s="9"/>
      <c r="T184" s="9"/>
      <c r="U184" s="9"/>
      <c r="V184" s="9"/>
      <c r="W184" s="9"/>
      <c r="X184" s="9"/>
      <c r="Y184" s="9"/>
      <c r="Z184" s="9"/>
      <c r="AA184" s="9"/>
      <c r="AB184" s="9"/>
      <c r="AC184" s="9"/>
      <c r="AD184" s="9"/>
      <c r="AE184" s="9"/>
      <c r="AF184" s="9"/>
      <c r="AG184" s="9"/>
      <c r="AH184" s="9"/>
      <c r="AI184" s="9"/>
      <c r="AJ184" s="43"/>
      <c r="AL184" s="87">
        <f t="shared" si="21"/>
        <v>1</v>
      </c>
    </row>
    <row r="185" spans="2:38" ht="15" customHeight="1" x14ac:dyDescent="0.3">
      <c r="B185" s="40"/>
      <c r="C185" s="9"/>
      <c r="D185" s="9"/>
      <c r="E185" s="9"/>
      <c r="F185" s="9"/>
      <c r="G185" s="9"/>
      <c r="H185" s="9"/>
      <c r="I185" s="9"/>
      <c r="J185" s="10"/>
      <c r="K185" s="10"/>
      <c r="L185" s="9" t="str">
        <f>IF(AM81=3,"",IF(AQ85=1,"For Class 2 Riprap, the minimum depth is 1.50-feet",IF(AQ85=2,Tables!J22,"")))</f>
        <v>For Class 2 Riprap, the minimum depth is 1.50-feet</v>
      </c>
      <c r="M185" s="10"/>
      <c r="N185" s="10"/>
      <c r="O185" s="9"/>
      <c r="P185" s="9"/>
      <c r="Q185" s="9"/>
      <c r="R185" s="9"/>
      <c r="S185" s="9"/>
      <c r="T185" s="9"/>
      <c r="U185" s="9"/>
      <c r="V185" s="9"/>
      <c r="W185" s="9"/>
      <c r="X185" s="9"/>
      <c r="Y185" s="9"/>
      <c r="Z185" s="9"/>
      <c r="AA185" s="9"/>
      <c r="AB185" s="9"/>
      <c r="AC185" s="9"/>
      <c r="AD185" s="9"/>
      <c r="AE185" s="9"/>
      <c r="AF185" s="9"/>
      <c r="AG185" s="9"/>
      <c r="AH185" s="9"/>
      <c r="AI185" s="9"/>
      <c r="AJ185" s="43"/>
      <c r="AL185" s="87">
        <f t="shared" si="21"/>
        <v>1</v>
      </c>
    </row>
    <row r="186" spans="2:38" ht="15" customHeight="1" x14ac:dyDescent="0.3">
      <c r="B186" s="40"/>
      <c r="C186" s="9"/>
      <c r="D186" s="9"/>
      <c r="E186" s="9"/>
      <c r="F186" s="9"/>
      <c r="G186" s="9"/>
      <c r="H186" s="9"/>
      <c r="I186" s="9"/>
      <c r="J186" s="10" t="s">
        <v>84</v>
      </c>
      <c r="K186" s="10"/>
      <c r="L186" s="9" t="str">
        <f>IF(AM87&lt;6,Tables!J4,"")</f>
        <v>Emergency Spillway Section not completed</v>
      </c>
      <c r="M186" s="10"/>
      <c r="N186" s="10"/>
      <c r="O186" s="9"/>
      <c r="P186" s="9"/>
      <c r="Q186" s="9"/>
      <c r="R186" s="9"/>
      <c r="S186" s="9"/>
      <c r="T186" s="9"/>
      <c r="U186" s="9"/>
      <c r="V186" s="9"/>
      <c r="W186" s="9"/>
      <c r="X186" s="9"/>
      <c r="Y186" s="9"/>
      <c r="Z186" s="9"/>
      <c r="AA186" s="9"/>
      <c r="AB186" s="9"/>
      <c r="AC186" s="9"/>
      <c r="AD186" s="9"/>
      <c r="AE186" s="9"/>
      <c r="AF186" s="9"/>
      <c r="AG186" s="9"/>
      <c r="AH186" s="9"/>
      <c r="AI186" s="9"/>
      <c r="AJ186" s="43"/>
      <c r="AL186" s="87">
        <f t="shared" si="21"/>
        <v>1</v>
      </c>
    </row>
    <row r="187" spans="2:38" ht="15" customHeight="1" x14ac:dyDescent="0.3">
      <c r="B187" s="40"/>
      <c r="C187" s="9"/>
      <c r="D187" s="9"/>
      <c r="E187" s="9"/>
      <c r="F187" s="9"/>
      <c r="G187" s="9"/>
      <c r="H187" s="9"/>
      <c r="I187" s="9"/>
      <c r="J187" s="10" t="s">
        <v>262</v>
      </c>
      <c r="K187" s="10"/>
      <c r="L187" s="9" t="str">
        <f>IF(AL114&lt;1,Tables!J11,"")</f>
        <v>Freeboard  &lt;  1.0 ft</v>
      </c>
      <c r="M187" s="10"/>
      <c r="N187" s="10"/>
      <c r="O187" s="9"/>
      <c r="P187" s="9"/>
      <c r="Q187" s="9"/>
      <c r="R187" s="9"/>
      <c r="S187" s="9"/>
      <c r="T187" s="9"/>
      <c r="U187" s="9"/>
      <c r="V187" s="9"/>
      <c r="W187" s="9"/>
      <c r="X187" s="9"/>
      <c r="Y187" s="9"/>
      <c r="Z187" s="9"/>
      <c r="AA187" s="9"/>
      <c r="AB187" s="9"/>
      <c r="AC187" s="9"/>
      <c r="AD187" s="9"/>
      <c r="AE187" s="9"/>
      <c r="AF187" s="9"/>
      <c r="AG187" s="9"/>
      <c r="AH187" s="9"/>
      <c r="AI187" s="9"/>
      <c r="AJ187" s="43"/>
      <c r="AL187" s="87">
        <f t="shared" si="21"/>
        <v>1</v>
      </c>
    </row>
    <row r="188" spans="2:38" ht="15" customHeight="1" x14ac:dyDescent="0.3">
      <c r="B188" s="40"/>
      <c r="C188" s="9"/>
      <c r="D188" s="9"/>
      <c r="E188" s="9"/>
      <c r="F188" s="9"/>
      <c r="G188" s="9"/>
      <c r="H188" s="9"/>
      <c r="I188" s="9"/>
      <c r="J188" s="10" t="s">
        <v>107</v>
      </c>
      <c r="K188" s="10"/>
      <c r="L188" s="9" t="str">
        <f>IF(AO91&lt;2,Tables!J8,"")</f>
        <v>Latitude and/or Longitude not provided</v>
      </c>
      <c r="M188" s="10"/>
      <c r="N188" s="10"/>
      <c r="O188" s="9"/>
      <c r="P188" s="9"/>
      <c r="Q188" s="9"/>
      <c r="R188" s="9"/>
      <c r="S188" s="9"/>
      <c r="T188" s="9"/>
      <c r="U188" s="9"/>
      <c r="V188" s="9"/>
      <c r="W188" s="9"/>
      <c r="X188" s="9"/>
      <c r="Y188" s="9"/>
      <c r="Z188" s="9"/>
      <c r="AA188" s="9"/>
      <c r="AB188" s="9"/>
      <c r="AC188" s="9"/>
      <c r="AD188" s="9"/>
      <c r="AE188" s="9"/>
      <c r="AF188" s="9"/>
      <c r="AG188" s="9"/>
      <c r="AH188" s="9"/>
      <c r="AI188" s="9"/>
      <c r="AJ188" s="43"/>
      <c r="AL188" s="87">
        <f t="shared" si="21"/>
        <v>1</v>
      </c>
    </row>
    <row r="189" spans="2:38" ht="15" customHeight="1" x14ac:dyDescent="0.3">
      <c r="B189" s="40"/>
      <c r="C189" s="9"/>
      <c r="D189" s="9"/>
      <c r="E189" s="9"/>
      <c r="F189" s="9"/>
      <c r="G189" s="9"/>
      <c r="H189" s="9"/>
      <c r="I189" s="9"/>
      <c r="J189" s="10"/>
      <c r="K189" s="10"/>
      <c r="L189" s="9" t="str">
        <f>IF(AND(AQ91=1,AS91=1),Tables!$J$14,IF(OR(AQ91=3,AS91=3),Tables!$J$14,""))</f>
        <v>Latitude and/or Longitude has been entered as text.  Change to a number.</v>
      </c>
      <c r="M189" s="10"/>
      <c r="N189" s="10"/>
      <c r="O189" s="9"/>
      <c r="P189" s="9"/>
      <c r="Q189" s="9"/>
      <c r="R189" s="9"/>
      <c r="S189" s="9"/>
      <c r="T189" s="9"/>
      <c r="U189" s="9"/>
      <c r="V189" s="9"/>
      <c r="W189" s="9"/>
      <c r="X189" s="9"/>
      <c r="Y189" s="9"/>
      <c r="Z189" s="9"/>
      <c r="AA189" s="9"/>
      <c r="AB189" s="9"/>
      <c r="AC189" s="9"/>
      <c r="AD189" s="9"/>
      <c r="AE189" s="9"/>
      <c r="AF189" s="9"/>
      <c r="AG189" s="9"/>
      <c r="AH189" s="9"/>
      <c r="AI189" s="9"/>
      <c r="AJ189" s="43"/>
      <c r="AL189" s="87">
        <f t="shared" si="21"/>
        <v>1</v>
      </c>
    </row>
    <row r="190" spans="2:38" ht="15" customHeight="1" x14ac:dyDescent="0.3">
      <c r="B190" s="40"/>
      <c r="C190" s="9"/>
      <c r="D190" s="9"/>
      <c r="E190" s="9"/>
      <c r="F190" s="9"/>
      <c r="G190" s="9"/>
      <c r="H190" s="9"/>
      <c r="I190" s="9"/>
      <c r="J190" s="10" t="s">
        <v>141</v>
      </c>
      <c r="K190" s="10"/>
      <c r="L190" s="9" t="str">
        <f>IF(AM103=2,Tables!J9,IF(AM102=1,"",Tables!J9))</f>
        <v>WQv Required &gt; WQv Provided</v>
      </c>
      <c r="M190" s="10"/>
      <c r="N190" s="10"/>
      <c r="O190" s="9"/>
      <c r="P190" s="9"/>
      <c r="Q190" s="9"/>
      <c r="R190" s="9"/>
      <c r="S190" s="9"/>
      <c r="T190" s="9"/>
      <c r="U190" s="9"/>
      <c r="V190" s="9"/>
      <c r="W190" s="9"/>
      <c r="X190" s="9"/>
      <c r="Y190" s="9"/>
      <c r="Z190" s="9"/>
      <c r="AA190" s="9"/>
      <c r="AB190" s="9"/>
      <c r="AC190" s="9"/>
      <c r="AD190" s="9"/>
      <c r="AE190" s="9"/>
      <c r="AF190" s="9"/>
      <c r="AG190" s="9"/>
      <c r="AH190" s="9"/>
      <c r="AI190" s="9"/>
      <c r="AJ190" s="43"/>
      <c r="AL190" s="87">
        <f t="shared" si="21"/>
        <v>1</v>
      </c>
    </row>
    <row r="191" spans="2:38" ht="15" customHeight="1" x14ac:dyDescent="0.3">
      <c r="B191" s="40"/>
      <c r="C191" s="9"/>
      <c r="D191" s="9"/>
      <c r="E191" s="9"/>
      <c r="F191" s="9"/>
      <c r="G191" s="9"/>
      <c r="H191" s="9"/>
      <c r="I191" s="9"/>
      <c r="J191" s="10"/>
      <c r="K191" s="10"/>
      <c r="L191" s="9"/>
      <c r="M191" s="10"/>
      <c r="N191" s="10"/>
      <c r="O191" s="9"/>
      <c r="P191" s="9"/>
      <c r="Q191" s="9"/>
      <c r="R191" s="9"/>
      <c r="S191" s="9"/>
      <c r="T191" s="9"/>
      <c r="U191" s="9"/>
      <c r="V191" s="9"/>
      <c r="W191" s="9"/>
      <c r="X191" s="9"/>
      <c r="Y191" s="9"/>
      <c r="Z191" s="9"/>
      <c r="AA191" s="9"/>
      <c r="AB191" s="9"/>
      <c r="AC191" s="9"/>
      <c r="AD191" s="9"/>
      <c r="AE191" s="9"/>
      <c r="AF191" s="9"/>
      <c r="AG191" s="9"/>
      <c r="AH191" s="9"/>
      <c r="AI191" s="9"/>
      <c r="AJ191" s="43"/>
      <c r="AL191" s="87"/>
    </row>
    <row r="192" spans="2:38" ht="15" customHeight="1" x14ac:dyDescent="0.3">
      <c r="B192" s="40"/>
      <c r="C192" s="9"/>
      <c r="D192" s="9"/>
      <c r="E192" s="9"/>
      <c r="F192" s="9"/>
      <c r="G192" s="9"/>
      <c r="H192" s="9"/>
      <c r="I192" s="9"/>
      <c r="J192" s="98" t="s">
        <v>85</v>
      </c>
      <c r="K192" s="10"/>
      <c r="L192" s="9"/>
      <c r="M192" s="10"/>
      <c r="N192" s="10"/>
      <c r="O192" s="9"/>
      <c r="P192" s="9"/>
      <c r="Q192" s="9"/>
      <c r="R192" s="9"/>
      <c r="S192" s="9"/>
      <c r="T192" s="9"/>
      <c r="U192" s="9"/>
      <c r="V192" s="9"/>
      <c r="W192" s="9"/>
      <c r="X192" s="9"/>
      <c r="Y192" s="9"/>
      <c r="Z192" s="9"/>
      <c r="AA192" s="9"/>
      <c r="AB192" s="9"/>
      <c r="AC192" s="9"/>
      <c r="AD192" s="9"/>
      <c r="AE192" s="9"/>
      <c r="AF192" s="9"/>
      <c r="AG192" s="9"/>
      <c r="AH192" s="9"/>
      <c r="AI192" s="9"/>
      <c r="AJ192" s="43"/>
      <c r="AL192" s="87">
        <f t="shared" si="21"/>
        <v>0</v>
      </c>
    </row>
    <row r="193" spans="2:38" ht="15" customHeight="1" x14ac:dyDescent="0.3">
      <c r="B193" s="40"/>
      <c r="C193" s="9"/>
      <c r="D193" s="9"/>
      <c r="E193" s="9"/>
      <c r="F193" s="9"/>
      <c r="G193" s="9"/>
      <c r="H193" s="9"/>
      <c r="I193" s="9"/>
      <c r="J193" s="10" t="s">
        <v>79</v>
      </c>
      <c r="K193" s="10"/>
      <c r="L193" s="9" t="str">
        <f>IF(AL108&gt;0,Tables!J7,"")</f>
        <v>Max Stage for 2, 5, 10, 25, and/or 50-year storm  &gt; emergency spillway crest elevation</v>
      </c>
      <c r="M193" s="10"/>
      <c r="N193" s="10"/>
      <c r="O193" s="9"/>
      <c r="P193" s="9"/>
      <c r="Q193" s="9"/>
      <c r="R193" s="9"/>
      <c r="S193" s="9"/>
      <c r="T193" s="9"/>
      <c r="U193" s="9"/>
      <c r="V193" s="9"/>
      <c r="W193" s="9"/>
      <c r="X193" s="9"/>
      <c r="Y193" s="9"/>
      <c r="Z193" s="9"/>
      <c r="AA193" s="9"/>
      <c r="AB193" s="9"/>
      <c r="AC193" s="9"/>
      <c r="AD193" s="9"/>
      <c r="AE193" s="9"/>
      <c r="AF193" s="9"/>
      <c r="AG193" s="9"/>
      <c r="AH193" s="9"/>
      <c r="AI193" s="9"/>
      <c r="AJ193" s="43"/>
      <c r="AL193" s="87">
        <f t="shared" si="21"/>
        <v>1</v>
      </c>
    </row>
    <row r="194" spans="2:38" ht="15" customHeight="1" x14ac:dyDescent="0.3">
      <c r="B194" s="40"/>
      <c r="C194" s="9"/>
      <c r="D194" s="9"/>
      <c r="E194" s="9"/>
      <c r="F194" s="9"/>
      <c r="G194" s="9"/>
      <c r="H194" s="9"/>
      <c r="I194" s="9"/>
      <c r="J194" s="10" t="s">
        <v>225</v>
      </c>
      <c r="K194" s="10"/>
      <c r="L194" s="9" t="str">
        <f>IF(AR$108&gt;0,Tables!J18,"")</f>
        <v>Outlet Control Structure Velocity &gt; 6 ft/s</v>
      </c>
      <c r="M194" s="10"/>
      <c r="N194" s="10"/>
      <c r="O194" s="9"/>
      <c r="P194" s="9"/>
      <c r="Q194" s="9"/>
      <c r="R194" s="9"/>
      <c r="S194" s="9"/>
      <c r="T194" s="9"/>
      <c r="U194" s="9"/>
      <c r="V194" s="9"/>
      <c r="W194" s="9"/>
      <c r="X194" s="9"/>
      <c r="Y194" s="9"/>
      <c r="Z194" s="9"/>
      <c r="AA194" s="9"/>
      <c r="AB194" s="9"/>
      <c r="AC194" s="9"/>
      <c r="AD194" s="9"/>
      <c r="AE194" s="9"/>
      <c r="AF194" s="9"/>
      <c r="AG194" s="9"/>
      <c r="AH194" s="9"/>
      <c r="AI194" s="9"/>
      <c r="AJ194" s="43"/>
      <c r="AL194" s="87">
        <f t="shared" si="21"/>
        <v>1</v>
      </c>
    </row>
    <row r="195" spans="2:38" ht="15" customHeight="1" x14ac:dyDescent="0.3">
      <c r="B195" s="40"/>
      <c r="C195" s="9"/>
      <c r="D195" s="9"/>
      <c r="E195" s="9"/>
      <c r="F195" s="9"/>
      <c r="G195" s="9"/>
      <c r="H195" s="9"/>
      <c r="I195" s="9"/>
      <c r="J195" s="10"/>
      <c r="K195" s="10"/>
      <c r="L195" s="9" t="str">
        <f>IF(AM$108&gt;0,Tables!J6,"")</f>
        <v>Emergency Spillway Velocity &gt; 6 ft/s</v>
      </c>
      <c r="M195" s="10"/>
      <c r="N195" s="10"/>
      <c r="O195" s="9"/>
      <c r="P195" s="9"/>
      <c r="Q195" s="9"/>
      <c r="R195" s="9"/>
      <c r="S195" s="9"/>
      <c r="T195" s="9"/>
      <c r="U195" s="9"/>
      <c r="V195" s="9"/>
      <c r="W195" s="9"/>
      <c r="X195" s="9"/>
      <c r="Y195" s="9"/>
      <c r="Z195" s="9"/>
      <c r="AA195" s="9"/>
      <c r="AB195" s="9"/>
      <c r="AC195" s="9"/>
      <c r="AD195" s="9"/>
      <c r="AE195" s="9"/>
      <c r="AF195" s="9"/>
      <c r="AG195" s="9"/>
      <c r="AH195" s="9"/>
      <c r="AI195" s="9"/>
      <c r="AJ195" s="43"/>
      <c r="AL195" s="87">
        <f>IF(L195="",0,1)</f>
        <v>1</v>
      </c>
    </row>
    <row r="196" spans="2:38" ht="15" customHeight="1" x14ac:dyDescent="0.3">
      <c r="B196" s="40"/>
      <c r="C196" s="9"/>
      <c r="D196" s="9"/>
      <c r="E196" s="9"/>
      <c r="F196" s="9"/>
      <c r="G196" s="9"/>
      <c r="H196" s="9"/>
      <c r="I196" s="9"/>
      <c r="J196" s="10" t="s">
        <v>86</v>
      </c>
      <c r="K196" s="10"/>
      <c r="L196" s="9" t="str">
        <f>IF(OR(AN108&gt;0,AO108&gt;0),Tables!J5,"")</f>
        <v>Total Post Q &gt; Pre Q</v>
      </c>
      <c r="M196" s="10"/>
      <c r="N196" s="10"/>
      <c r="O196" s="9"/>
      <c r="P196" s="9"/>
      <c r="Q196" s="9"/>
      <c r="R196" s="9"/>
      <c r="S196" s="9"/>
      <c r="T196" s="9"/>
      <c r="U196" s="9"/>
      <c r="V196" s="9"/>
      <c r="W196" s="9"/>
      <c r="X196" s="9"/>
      <c r="Y196" s="9"/>
      <c r="Z196" s="9"/>
      <c r="AA196" s="9"/>
      <c r="AB196" s="9"/>
      <c r="AC196" s="9"/>
      <c r="AD196" s="9"/>
      <c r="AE196" s="9"/>
      <c r="AF196" s="9"/>
      <c r="AG196" s="9"/>
      <c r="AH196" s="9"/>
      <c r="AI196" s="9"/>
      <c r="AJ196" s="43"/>
      <c r="AL196" s="87">
        <f t="shared" si="21"/>
        <v>1</v>
      </c>
    </row>
    <row r="197" spans="2:38" ht="15" customHeight="1" x14ac:dyDescent="0.3">
      <c r="B197" s="40"/>
      <c r="C197" s="9"/>
      <c r="D197" s="9"/>
      <c r="E197" s="9"/>
      <c r="F197" s="9"/>
      <c r="G197" s="9"/>
      <c r="H197" s="9"/>
      <c r="I197" s="9"/>
      <c r="J197" s="10"/>
      <c r="K197" s="10"/>
      <c r="L197" s="9" t="str">
        <f>IF($AQ$108&gt;0,Tables!$J$12,"")</f>
        <v>Total Post Q is &lt; 0.50 ft3/s of Pre Q</v>
      </c>
      <c r="M197" s="10"/>
      <c r="N197" s="10"/>
      <c r="O197" s="9"/>
      <c r="P197" s="9"/>
      <c r="Q197" s="9"/>
      <c r="R197" s="9"/>
      <c r="S197" s="9"/>
      <c r="T197" s="9"/>
      <c r="U197" s="9"/>
      <c r="V197" s="9"/>
      <c r="W197" s="9"/>
      <c r="X197" s="9"/>
      <c r="Y197" s="9"/>
      <c r="Z197" s="9"/>
      <c r="AA197" s="9"/>
      <c r="AB197" s="9"/>
      <c r="AC197" s="9"/>
      <c r="AD197" s="9"/>
      <c r="AE197" s="9"/>
      <c r="AF197" s="9"/>
      <c r="AG197" s="9"/>
      <c r="AH197" s="9"/>
      <c r="AI197" s="9"/>
      <c r="AJ197" s="43"/>
      <c r="AL197" s="87">
        <f t="shared" si="21"/>
        <v>1</v>
      </c>
    </row>
    <row r="198" spans="2:38" ht="15" customHeight="1" x14ac:dyDescent="0.3">
      <c r="B198" s="40"/>
      <c r="C198" s="9"/>
      <c r="D198" s="9"/>
      <c r="E198" s="9"/>
      <c r="F198" s="9"/>
      <c r="G198" s="9"/>
      <c r="H198" s="9"/>
      <c r="I198" s="9"/>
      <c r="J198" s="10"/>
      <c r="K198" s="10"/>
      <c r="L198" s="9" t="str">
        <f>IF(AO125="Yes",IF(AND(ISBLANK(C125),ISBLANK(F125)),Tables!$J15,IF($AO$108&gt;0,Tables!$J15,"")),"")</f>
        <v/>
      </c>
      <c r="M198" s="10"/>
      <c r="N198" s="10"/>
      <c r="O198" s="9"/>
      <c r="P198" s="9"/>
      <c r="Q198" s="9"/>
      <c r="R198" s="9"/>
      <c r="S198" s="9"/>
      <c r="T198" s="9"/>
      <c r="U198" s="9"/>
      <c r="V198" s="9"/>
      <c r="W198" s="9"/>
      <c r="X198" s="9"/>
      <c r="Y198" s="9"/>
      <c r="Z198" s="9"/>
      <c r="AA198" s="9"/>
      <c r="AB198" s="9"/>
      <c r="AC198" s="9"/>
      <c r="AD198" s="9"/>
      <c r="AE198" s="9"/>
      <c r="AF198" s="9"/>
      <c r="AG198" s="9"/>
      <c r="AH198" s="9"/>
      <c r="AI198" s="9"/>
      <c r="AJ198" s="43"/>
      <c r="AL198" s="87">
        <f t="shared" si="21"/>
        <v>0</v>
      </c>
    </row>
    <row r="199" spans="2:38" ht="15" customHeight="1" x14ac:dyDescent="0.3">
      <c r="B199" s="44"/>
      <c r="C199" s="45"/>
      <c r="D199" s="45"/>
      <c r="E199" s="45"/>
      <c r="F199" s="45"/>
      <c r="G199" s="45"/>
      <c r="H199" s="45"/>
      <c r="I199" s="45"/>
      <c r="J199" s="46"/>
      <c r="K199" s="46"/>
      <c r="L199" s="45" t="str">
        <f>IF(AO127="Yes",IF(AND(ISBLANK(C127),ISBLANK(F127)),Tables!$J16,IF($AP$108&gt;0,Tables!$J16,"")),"")</f>
        <v/>
      </c>
      <c r="M199" s="46"/>
      <c r="N199" s="46"/>
      <c r="O199" s="45"/>
      <c r="P199" s="45"/>
      <c r="Q199" s="45"/>
      <c r="R199" s="45"/>
      <c r="S199" s="45"/>
      <c r="T199" s="45"/>
      <c r="U199" s="45"/>
      <c r="V199" s="45"/>
      <c r="W199" s="45"/>
      <c r="X199" s="45"/>
      <c r="Y199" s="45"/>
      <c r="Z199" s="45"/>
      <c r="AA199" s="45"/>
      <c r="AB199" s="45"/>
      <c r="AC199" s="45"/>
      <c r="AD199" s="45"/>
      <c r="AE199" s="45"/>
      <c r="AF199" s="45"/>
      <c r="AG199" s="45"/>
      <c r="AH199" s="45"/>
      <c r="AI199" s="45"/>
      <c r="AJ199" s="47"/>
      <c r="AL199" s="87">
        <f t="shared" si="21"/>
        <v>0</v>
      </c>
    </row>
    <row r="200" spans="2:38" ht="15" customHeight="1" x14ac:dyDescent="0.3">
      <c r="AK200" s="25"/>
    </row>
    <row r="201" spans="2:38" ht="15" customHeight="1" x14ac:dyDescent="0.3">
      <c r="AK201" s="25"/>
    </row>
    <row r="202" spans="2:38" ht="15" customHeight="1" x14ac:dyDescent="0.3">
      <c r="B202" s="200">
        <f>Tables!$F$13</f>
        <v>46266</v>
      </c>
      <c r="C202" s="200"/>
      <c r="D202" s="200"/>
      <c r="E202" s="200"/>
      <c r="F202" s="200"/>
      <c r="G202" s="200"/>
      <c r="H202" s="200"/>
      <c r="R202" s="186" t="s">
        <v>220</v>
      </c>
      <c r="S202" s="186"/>
      <c r="T202" s="186"/>
      <c r="U202" s="186"/>
      <c r="AK202" s="25"/>
    </row>
    <row r="203" spans="2:38" ht="15" customHeight="1" x14ac:dyDescent="0.3"/>
    <row r="204" spans="2:38" ht="15" customHeight="1" x14ac:dyDescent="0.3"/>
    <row r="205" spans="2:38" ht="15" customHeight="1" x14ac:dyDescent="0.3"/>
    <row r="206" spans="2:38" ht="15" customHeight="1" x14ac:dyDescent="0.3"/>
    <row r="207" spans="2:38" ht="15" customHeight="1" x14ac:dyDescent="0.3"/>
    <row r="208" spans="2:38" ht="15" customHeight="1" x14ac:dyDescent="0.3"/>
    <row r="209" ht="15" customHeight="1" x14ac:dyDescent="0.3"/>
  </sheetData>
  <sheetProtection algorithmName="SHA-512" hashValue="ObPXcTTQGKUqP+syIpTutxrNhqjKc9b8MPiuNavgCD1q/juy3OlUlw2NXnW+RHjkDpj2hKweJ/HaKcRgDbOVaw==" saltValue="HSYbxAx8ovTu/X7Vc4RbOQ==" spinCount="100000" sheet="1" objects="1" scenarios="1" selectLockedCells="1"/>
  <mergeCells count="389">
    <mergeCell ref="D42:E47"/>
    <mergeCell ref="F44:G44"/>
    <mergeCell ref="K75:M75"/>
    <mergeCell ref="K76:M76"/>
    <mergeCell ref="F42:G42"/>
    <mergeCell ref="F34:G34"/>
    <mergeCell ref="C97:E97"/>
    <mergeCell ref="C98:E98"/>
    <mergeCell ref="H100:J100"/>
    <mergeCell ref="H96:J96"/>
    <mergeCell ref="H98:J98"/>
    <mergeCell ref="C94:E94"/>
    <mergeCell ref="F85:H85"/>
    <mergeCell ref="H95:J95"/>
    <mergeCell ref="C77:E77"/>
    <mergeCell ref="F75:I75"/>
    <mergeCell ref="F76:I76"/>
    <mergeCell ref="F77:I77"/>
    <mergeCell ref="K77:M77"/>
    <mergeCell ref="C76:E76"/>
    <mergeCell ref="K79:M79"/>
    <mergeCell ref="F88:I88"/>
    <mergeCell ref="B53:H53"/>
    <mergeCell ref="C75:E75"/>
    <mergeCell ref="C73:E73"/>
    <mergeCell ref="C79:E79"/>
    <mergeCell ref="C78:E78"/>
    <mergeCell ref="V1:AK4"/>
    <mergeCell ref="F89:I89"/>
    <mergeCell ref="M95:P95"/>
    <mergeCell ref="H58:J58"/>
    <mergeCell ref="H59:J59"/>
    <mergeCell ref="H57:J57"/>
    <mergeCell ref="F43:G43"/>
    <mergeCell ref="F79:I79"/>
    <mergeCell ref="F78:I78"/>
    <mergeCell ref="F32:G32"/>
    <mergeCell ref="F33:G33"/>
    <mergeCell ref="AB33:AD33"/>
    <mergeCell ref="AB34:AD34"/>
    <mergeCell ref="AB42:AD42"/>
    <mergeCell ref="AB43:AD43"/>
    <mergeCell ref="X40:Z40"/>
    <mergeCell ref="X43:Z43"/>
    <mergeCell ref="X44:Z44"/>
    <mergeCell ref="I39:J39"/>
    <mergeCell ref="L44:N44"/>
    <mergeCell ref="AA15:AD15"/>
    <mergeCell ref="AL141:AM141"/>
    <mergeCell ref="F63:I63"/>
    <mergeCell ref="U76:W76"/>
    <mergeCell ref="U77:W77"/>
    <mergeCell ref="U78:W78"/>
    <mergeCell ref="M100:P100"/>
    <mergeCell ref="Q98:R98"/>
    <mergeCell ref="S99:U99"/>
    <mergeCell ref="S100:U100"/>
    <mergeCell ref="P71:R71"/>
    <mergeCell ref="K95:L95"/>
    <mergeCell ref="P77:R77"/>
    <mergeCell ref="U75:W75"/>
    <mergeCell ref="K99:L99"/>
    <mergeCell ref="Q95:R95"/>
    <mergeCell ref="K101:L101"/>
    <mergeCell ref="H97:J97"/>
    <mergeCell ref="P73:R73"/>
    <mergeCell ref="AE69:AG69"/>
    <mergeCell ref="Z69:AB69"/>
    <mergeCell ref="U69:W69"/>
    <mergeCell ref="U71:W71"/>
    <mergeCell ref="P69:R69"/>
    <mergeCell ref="K78:M78"/>
    <mergeCell ref="X27:Z27"/>
    <mergeCell ref="T27:V27"/>
    <mergeCell ref="AE15:AF15"/>
    <mergeCell ref="AE17:AH17"/>
    <mergeCell ref="P27:R27"/>
    <mergeCell ref="F31:G31"/>
    <mergeCell ref="T31:V31"/>
    <mergeCell ref="L31:N31"/>
    <mergeCell ref="P31:R31"/>
    <mergeCell ref="N19:O19"/>
    <mergeCell ref="N20:O20"/>
    <mergeCell ref="N21:O21"/>
    <mergeCell ref="AA17:AB17"/>
    <mergeCell ref="I26:J26"/>
    <mergeCell ref="N17:O17"/>
    <mergeCell ref="AB25:AD25"/>
    <mergeCell ref="J21:M21"/>
    <mergeCell ref="W17:Z17"/>
    <mergeCell ref="W20:Z20"/>
    <mergeCell ref="X26:Z26"/>
    <mergeCell ref="T26:V26"/>
    <mergeCell ref="L25:N25"/>
    <mergeCell ref="P25:R25"/>
    <mergeCell ref="J17:M17"/>
    <mergeCell ref="AE7:AJ7"/>
    <mergeCell ref="AE8:AJ8"/>
    <mergeCell ref="X28:Z28"/>
    <mergeCell ref="X29:Z29"/>
    <mergeCell ref="X30:Z30"/>
    <mergeCell ref="W21:Z21"/>
    <mergeCell ref="AB30:AD30"/>
    <mergeCell ref="AA14:AD14"/>
    <mergeCell ref="E7:X7"/>
    <mergeCell ref="E8:X8"/>
    <mergeCell ref="L27:N27"/>
    <mergeCell ref="L26:N26"/>
    <mergeCell ref="AF29:AH29"/>
    <mergeCell ref="D29:E34"/>
    <mergeCell ref="AF26:AH26"/>
    <mergeCell ref="N16:O16"/>
    <mergeCell ref="F29:G29"/>
    <mergeCell ref="F30:G30"/>
    <mergeCell ref="J16:M16"/>
    <mergeCell ref="AE14:AF14"/>
    <mergeCell ref="P29:R29"/>
    <mergeCell ref="P30:R30"/>
    <mergeCell ref="AF25:AH25"/>
    <mergeCell ref="N18:O18"/>
    <mergeCell ref="J18:M18"/>
    <mergeCell ref="U73:W73"/>
    <mergeCell ref="L38:N38"/>
    <mergeCell ref="L34:N34"/>
    <mergeCell ref="X34:Z34"/>
    <mergeCell ref="X38:Z38"/>
    <mergeCell ref="P38:R38"/>
    <mergeCell ref="Y58:Z58"/>
    <mergeCell ref="T41:V41"/>
    <mergeCell ref="T42:V42"/>
    <mergeCell ref="T46:V46"/>
    <mergeCell ref="T47:V47"/>
    <mergeCell ref="T43:V43"/>
    <mergeCell ref="T44:V44"/>
    <mergeCell ref="U57:X57"/>
    <mergeCell ref="U58:X58"/>
    <mergeCell ref="T45:V45"/>
    <mergeCell ref="L41:N41"/>
    <mergeCell ref="P33:R33"/>
    <mergeCell ref="P41:R41"/>
    <mergeCell ref="L43:N43"/>
    <mergeCell ref="L42:N42"/>
    <mergeCell ref="R53:U53"/>
    <mergeCell ref="L30:N30"/>
    <mergeCell ref="AB32:AD32"/>
    <mergeCell ref="T32:V32"/>
    <mergeCell ref="P32:R32"/>
    <mergeCell ref="P45:R45"/>
    <mergeCell ref="P46:R46"/>
    <mergeCell ref="P47:R47"/>
    <mergeCell ref="T25:V25"/>
    <mergeCell ref="X25:Z25"/>
    <mergeCell ref="J19:M19"/>
    <mergeCell ref="AB26:AD26"/>
    <mergeCell ref="J20:M20"/>
    <mergeCell ref="P26:R26"/>
    <mergeCell ref="X32:Z32"/>
    <mergeCell ref="X33:Z33"/>
    <mergeCell ref="L33:N33"/>
    <mergeCell ref="L40:N40"/>
    <mergeCell ref="L32:N32"/>
    <mergeCell ref="X47:Z47"/>
    <mergeCell ref="X42:Z42"/>
    <mergeCell ref="X39:Z39"/>
    <mergeCell ref="P39:R39"/>
    <mergeCell ref="T39:V39"/>
    <mergeCell ref="T40:V40"/>
    <mergeCell ref="L39:N39"/>
    <mergeCell ref="L29:N29"/>
    <mergeCell ref="L28:N28"/>
    <mergeCell ref="X31:Z31"/>
    <mergeCell ref="AB31:AD31"/>
    <mergeCell ref="P28:R28"/>
    <mergeCell ref="AB29:AD29"/>
    <mergeCell ref="AF30:AH30"/>
    <mergeCell ref="AB28:AD28"/>
    <mergeCell ref="T28:V28"/>
    <mergeCell ref="T29:V29"/>
    <mergeCell ref="T30:V30"/>
    <mergeCell ref="P34:R34"/>
    <mergeCell ref="AF39:AH39"/>
    <mergeCell ref="AB40:AD40"/>
    <mergeCell ref="P40:R40"/>
    <mergeCell ref="AB45:AD45"/>
    <mergeCell ref="P44:R44"/>
    <mergeCell ref="AF47:AH47"/>
    <mergeCell ref="AF45:AH45"/>
    <mergeCell ref="AF46:AH46"/>
    <mergeCell ref="P43:R43"/>
    <mergeCell ref="T34:V34"/>
    <mergeCell ref="AF44:AH44"/>
    <mergeCell ref="T38:V38"/>
    <mergeCell ref="AB44:AD44"/>
    <mergeCell ref="P42:R42"/>
    <mergeCell ref="AB39:AD39"/>
    <mergeCell ref="AF42:AH42"/>
    <mergeCell ref="AB41:AD41"/>
    <mergeCell ref="X41:Z41"/>
    <mergeCell ref="U59:X59"/>
    <mergeCell ref="AF33:AH33"/>
    <mergeCell ref="AE55:AJ55"/>
    <mergeCell ref="AF43:AH43"/>
    <mergeCell ref="AF34:AH34"/>
    <mergeCell ref="AB46:AD46"/>
    <mergeCell ref="AB47:AD47"/>
    <mergeCell ref="AE54:AJ54"/>
    <mergeCell ref="AB38:AD38"/>
    <mergeCell ref="T33:V33"/>
    <mergeCell ref="P76:R76"/>
    <mergeCell ref="P78:R78"/>
    <mergeCell ref="F68:I68"/>
    <mergeCell ref="L46:N46"/>
    <mergeCell ref="L45:N45"/>
    <mergeCell ref="F69:I69"/>
    <mergeCell ref="F71:I71"/>
    <mergeCell ref="F73:I73"/>
    <mergeCell ref="P65:R65"/>
    <mergeCell ref="P67:R67"/>
    <mergeCell ref="P63:R63"/>
    <mergeCell ref="L47:N47"/>
    <mergeCell ref="D54:Y54"/>
    <mergeCell ref="F45:G45"/>
    <mergeCell ref="F46:G46"/>
    <mergeCell ref="F47:G47"/>
    <mergeCell ref="X45:Z45"/>
    <mergeCell ref="X46:Z46"/>
    <mergeCell ref="F64:I64"/>
    <mergeCell ref="F65:I65"/>
    <mergeCell ref="F67:I67"/>
    <mergeCell ref="U61:X61"/>
    <mergeCell ref="Y59:Z59"/>
    <mergeCell ref="Y61:Z61"/>
    <mergeCell ref="M101:P101"/>
    <mergeCell ref="S102:U102"/>
    <mergeCell ref="U79:W79"/>
    <mergeCell ref="P79:R79"/>
    <mergeCell ref="S95:U95"/>
    <mergeCell ref="O89:Q89"/>
    <mergeCell ref="X98:Z98"/>
    <mergeCell ref="U83:V83"/>
    <mergeCell ref="U85:V85"/>
    <mergeCell ref="S101:U101"/>
    <mergeCell ref="W89:Y89"/>
    <mergeCell ref="M97:P97"/>
    <mergeCell ref="M98:P98"/>
    <mergeCell ref="Q100:R100"/>
    <mergeCell ref="O88:Q88"/>
    <mergeCell ref="AG101:AH101"/>
    <mergeCell ref="AA96:AB96"/>
    <mergeCell ref="AA97:AB97"/>
    <mergeCell ref="AA98:AB98"/>
    <mergeCell ref="Q101:R101"/>
    <mergeCell ref="Q96:R96"/>
    <mergeCell ref="Q97:R97"/>
    <mergeCell ref="K69:M69"/>
    <mergeCell ref="K71:M71"/>
    <mergeCell ref="K73:M73"/>
    <mergeCell ref="K98:L98"/>
    <mergeCell ref="M99:P99"/>
    <mergeCell ref="O91:R91"/>
    <mergeCell ref="AA99:AB99"/>
    <mergeCell ref="AA100:AB100"/>
    <mergeCell ref="AA101:AB101"/>
    <mergeCell ref="M85:O85"/>
    <mergeCell ref="F83:N83"/>
    <mergeCell ref="AA95:AB95"/>
    <mergeCell ref="W91:Z91"/>
    <mergeCell ref="K96:L96"/>
    <mergeCell ref="K97:L97"/>
    <mergeCell ref="K100:L100"/>
    <mergeCell ref="P75:R75"/>
    <mergeCell ref="D105:Y105"/>
    <mergeCell ref="X95:Z95"/>
    <mergeCell ref="X99:Z99"/>
    <mergeCell ref="X100:Z100"/>
    <mergeCell ref="S96:U96"/>
    <mergeCell ref="S97:U97"/>
    <mergeCell ref="S98:U98"/>
    <mergeCell ref="X96:Z96"/>
    <mergeCell ref="X97:Z97"/>
    <mergeCell ref="Q99:R99"/>
    <mergeCell ref="C99:E99"/>
    <mergeCell ref="X101:Z101"/>
    <mergeCell ref="M96:P96"/>
    <mergeCell ref="R104:U104"/>
    <mergeCell ref="C100:E100"/>
    <mergeCell ref="B104:H104"/>
    <mergeCell ref="C101:E101"/>
    <mergeCell ref="C95:E95"/>
    <mergeCell ref="H101:J101"/>
    <mergeCell ref="H102:J102"/>
    <mergeCell ref="H99:J99"/>
    <mergeCell ref="C96:E96"/>
    <mergeCell ref="K102:L102"/>
    <mergeCell ref="V102:W102"/>
    <mergeCell ref="B202:H202"/>
    <mergeCell ref="R202:U202"/>
    <mergeCell ref="F170:Z170"/>
    <mergeCell ref="F171:Z171"/>
    <mergeCell ref="F172:Z172"/>
    <mergeCell ref="F173:L173"/>
    <mergeCell ref="P173:S173"/>
    <mergeCell ref="X173:Z173"/>
    <mergeCell ref="F174:Z174"/>
    <mergeCell ref="R158:U158"/>
    <mergeCell ref="M113:O113"/>
    <mergeCell ref="M114:O114"/>
    <mergeCell ref="Q114:S114"/>
    <mergeCell ref="C109:D109"/>
    <mergeCell ref="C110:D110"/>
    <mergeCell ref="U110:W110"/>
    <mergeCell ref="U109:W109"/>
    <mergeCell ref="I112:K112"/>
    <mergeCell ref="I111:K111"/>
    <mergeCell ref="I110:K110"/>
    <mergeCell ref="I109:K109"/>
    <mergeCell ref="M109:O109"/>
    <mergeCell ref="C112:D112"/>
    <mergeCell ref="AD177:AH177"/>
    <mergeCell ref="AG114:AI114"/>
    <mergeCell ref="AC114:AE114"/>
    <mergeCell ref="AG110:AI110"/>
    <mergeCell ref="AG111:AI111"/>
    <mergeCell ref="AG112:AI112"/>
    <mergeCell ref="AE160:AJ160"/>
    <mergeCell ref="B116:AJ122"/>
    <mergeCell ref="AG113:AI113"/>
    <mergeCell ref="F175:J175"/>
    <mergeCell ref="I114:K114"/>
    <mergeCell ref="Y114:AA114"/>
    <mergeCell ref="Y110:AA110"/>
    <mergeCell ref="Y111:AA111"/>
    <mergeCell ref="Y112:AA112"/>
    <mergeCell ref="Y113:AA113"/>
    <mergeCell ref="M112:O112"/>
    <mergeCell ref="M111:O111"/>
    <mergeCell ref="M110:O110"/>
    <mergeCell ref="C113:D113"/>
    <mergeCell ref="C114:D114"/>
    <mergeCell ref="D159:Y159"/>
    <mergeCell ref="AE159:AJ159"/>
    <mergeCell ref="B158:H158"/>
    <mergeCell ref="AG109:AI109"/>
    <mergeCell ref="I113:K113"/>
    <mergeCell ref="C111:D111"/>
    <mergeCell ref="U114:W114"/>
    <mergeCell ref="Q108:S108"/>
    <mergeCell ref="M108:O108"/>
    <mergeCell ref="I108:K108"/>
    <mergeCell ref="AE106:AJ106"/>
    <mergeCell ref="AG108:AJ108"/>
    <mergeCell ref="AC107:AE107"/>
    <mergeCell ref="U108:W108"/>
    <mergeCell ref="Y108:AA108"/>
    <mergeCell ref="Y107:AA107"/>
    <mergeCell ref="U113:W113"/>
    <mergeCell ref="U112:W112"/>
    <mergeCell ref="U111:W111"/>
    <mergeCell ref="AC108:AE108"/>
    <mergeCell ref="Q110:S110"/>
    <mergeCell ref="Q111:S111"/>
    <mergeCell ref="Q109:S109"/>
    <mergeCell ref="Q113:S113"/>
    <mergeCell ref="Q112:S112"/>
    <mergeCell ref="Y109:AA109"/>
    <mergeCell ref="AC6:AJ6"/>
    <mergeCell ref="BN1:CB4"/>
    <mergeCell ref="AP115:AQ115"/>
    <mergeCell ref="AC96:AF96"/>
    <mergeCell ref="AC97:AF97"/>
    <mergeCell ref="AC98:AF98"/>
    <mergeCell ref="AC99:AF99"/>
    <mergeCell ref="AC95:AF95"/>
    <mergeCell ref="AG95:AH95"/>
    <mergeCell ref="AC101:AF101"/>
    <mergeCell ref="AC100:AF100"/>
    <mergeCell ref="AG96:AH96"/>
    <mergeCell ref="AG97:AH97"/>
    <mergeCell ref="AG98:AH98"/>
    <mergeCell ref="AG99:AH99"/>
    <mergeCell ref="AG100:AH100"/>
    <mergeCell ref="AC102:AF102"/>
    <mergeCell ref="AE105:AJ105"/>
    <mergeCell ref="AF89:AH89"/>
    <mergeCell ref="AF31:AH31"/>
    <mergeCell ref="AV7:BJ8"/>
    <mergeCell ref="AI17:AJ17"/>
    <mergeCell ref="AF32:AH32"/>
    <mergeCell ref="AB27:AD27"/>
  </mergeCells>
  <conditionalFormatting sqref="B116:AJ122">
    <cfRule type="expression" dxfId="307" priority="1385">
      <formula>$AL$180&gt;0</formula>
    </cfRule>
    <cfRule type="cellIs" priority="1384" stopIfTrue="1" operator="greaterThan">
      <formula>0</formula>
    </cfRule>
  </conditionalFormatting>
  <conditionalFormatting sqref="C51 F51">
    <cfRule type="expression" priority="12">
      <formula>$AL$51=2</formula>
    </cfRule>
    <cfRule type="expression" dxfId="306" priority="13">
      <formula>$AL$51=1</formula>
    </cfRule>
  </conditionalFormatting>
  <conditionalFormatting sqref="C73">
    <cfRule type="expression" dxfId="305" priority="1183">
      <formula>$AL$73=1</formula>
    </cfRule>
    <cfRule type="cellIs" priority="1182" operator="greaterThan">
      <formula>0</formula>
    </cfRule>
  </conditionalFormatting>
  <conditionalFormatting sqref="C125 F125">
    <cfRule type="expression" dxfId="304" priority="207">
      <formula>$AL125=1</formula>
    </cfRule>
  </conditionalFormatting>
  <conditionalFormatting sqref="C125">
    <cfRule type="expression" dxfId="303" priority="208">
      <formula>$AM125=2</formula>
    </cfRule>
  </conditionalFormatting>
  <conditionalFormatting sqref="C127 F127">
    <cfRule type="expression" dxfId="302" priority="148">
      <formula>$AL127=1</formula>
    </cfRule>
  </conditionalFormatting>
  <conditionalFormatting sqref="C127">
    <cfRule type="expression" dxfId="301" priority="149">
      <formula>$AM127=2</formula>
    </cfRule>
  </conditionalFormatting>
  <conditionalFormatting sqref="C145 F145">
    <cfRule type="expression" dxfId="300" priority="204">
      <formula>$AL145=1</formula>
    </cfRule>
  </conditionalFormatting>
  <conditionalFormatting sqref="C147 F147">
    <cfRule type="expression" dxfId="299" priority="227">
      <formula>$AL$147=1</formula>
    </cfRule>
  </conditionalFormatting>
  <conditionalFormatting sqref="C147">
    <cfRule type="expression" dxfId="298" priority="228">
      <formula>$AM$147=2</formula>
    </cfRule>
  </conditionalFormatting>
  <conditionalFormatting sqref="C153 F153">
    <cfRule type="expression" dxfId="297" priority="53">
      <formula>$AL153=1</formula>
    </cfRule>
    <cfRule type="expression" dxfId="296" priority="52">
      <formula>$AN153=4</formula>
    </cfRule>
  </conditionalFormatting>
  <conditionalFormatting sqref="C155 F155">
    <cfRule type="expression" dxfId="295" priority="18">
      <formula>$AL155=1</formula>
    </cfRule>
  </conditionalFormatting>
  <conditionalFormatting sqref="C95:E95">
    <cfRule type="expression" dxfId="294" priority="286">
      <formula>ISBLANK($C$95)</formula>
    </cfRule>
    <cfRule type="cellIs" priority="285" operator="greaterThan">
      <formula>0</formula>
    </cfRule>
  </conditionalFormatting>
  <conditionalFormatting sqref="D54 AE54:AE55 H102 D105 AE105:AE106">
    <cfRule type="cellIs" dxfId="293" priority="430" operator="equal">
      <formula>0</formula>
    </cfRule>
  </conditionalFormatting>
  <conditionalFormatting sqref="D159 AE159:AE160">
    <cfRule type="cellIs" dxfId="292" priority="307" operator="equal">
      <formula>0</formula>
    </cfRule>
  </conditionalFormatting>
  <conditionalFormatting sqref="E7:E8 AE7:AE8 F63 P63 F67 P67 F69 F71 F88:F89 O88:O89 W89 AC102">
    <cfRule type="expression" dxfId="291" priority="449">
      <formula>ISBLANK(E7)</formula>
    </cfRule>
  </conditionalFormatting>
  <conditionalFormatting sqref="F10 M10 T10">
    <cfRule type="expression" dxfId="290" priority="424">
      <formula>ISBLANK(F10)</formula>
    </cfRule>
  </conditionalFormatting>
  <conditionalFormatting sqref="F12">
    <cfRule type="expression" dxfId="289" priority="16">
      <formula>ISBLANK(F12)</formula>
    </cfRule>
  </conditionalFormatting>
  <conditionalFormatting sqref="F83 F85 M85 U85">
    <cfRule type="expression" dxfId="288" priority="9">
      <formula>ISBLANK(F83)</formula>
    </cfRule>
  </conditionalFormatting>
  <conditionalFormatting sqref="F83 AF83 AI83 F85:H85 M85 U85 AF85 AI85">
    <cfRule type="expression" priority="5" stopIfTrue="1">
      <formula>$AM$81=3</formula>
    </cfRule>
  </conditionalFormatting>
  <conditionalFormatting sqref="F143 C143">
    <cfRule type="expression" dxfId="287" priority="49">
      <formula>$AL143=1</formula>
    </cfRule>
  </conditionalFormatting>
  <conditionalFormatting sqref="F143">
    <cfRule type="expression" dxfId="286" priority="48">
      <formula>$AQ$143&gt;0</formula>
    </cfRule>
  </conditionalFormatting>
  <conditionalFormatting sqref="F151 C151">
    <cfRule type="expression" dxfId="285" priority="51">
      <formula>$AL151=1</formula>
    </cfRule>
  </conditionalFormatting>
  <conditionalFormatting sqref="F151">
    <cfRule type="expression" dxfId="284" priority="50">
      <formula>$AM$151=2</formula>
    </cfRule>
  </conditionalFormatting>
  <conditionalFormatting sqref="F153">
    <cfRule type="expression" dxfId="283" priority="54">
      <formula>$AM$153=2</formula>
    </cfRule>
  </conditionalFormatting>
  <conditionalFormatting sqref="F170:F171">
    <cfRule type="expression" dxfId="282" priority="256">
      <formula>ISBLANK(F170)</formula>
    </cfRule>
  </conditionalFormatting>
  <conditionalFormatting sqref="F173:F175">
    <cfRule type="expression" dxfId="281" priority="251">
      <formula>ISBLANK(F173)</formula>
    </cfRule>
  </conditionalFormatting>
  <conditionalFormatting sqref="F75:H79">
    <cfRule type="expression" dxfId="280" priority="262">
      <formula>AL75=2</formula>
    </cfRule>
  </conditionalFormatting>
  <conditionalFormatting sqref="F64:I64">
    <cfRule type="expression" dxfId="279" priority="313">
      <formula>$AL$64=1</formula>
    </cfRule>
    <cfRule type="expression" priority="311" stopIfTrue="1">
      <formula>$AL$65=2</formula>
    </cfRule>
    <cfRule type="cellIs" priority="312" stopIfTrue="1" operator="greaterThan">
      <formula>0</formula>
    </cfRule>
  </conditionalFormatting>
  <conditionalFormatting sqref="F65:I65 P65:R65">
    <cfRule type="expression" priority="308" stopIfTrue="1">
      <formula>$AL$64=2</formula>
    </cfRule>
    <cfRule type="cellIs" priority="309" stopIfTrue="1" operator="greaterThan">
      <formula>0</formula>
    </cfRule>
    <cfRule type="expression" dxfId="278" priority="310">
      <formula>$AL$65</formula>
    </cfRule>
  </conditionalFormatting>
  <conditionalFormatting sqref="F73:I73 K73:M73 U73:W73">
    <cfRule type="cellIs" priority="1184" stopIfTrue="1" operator="greaterThan">
      <formula>0</formula>
    </cfRule>
    <cfRule type="expression" dxfId="277" priority="1185">
      <formula>$AL$73=2</formula>
    </cfRule>
  </conditionalFormatting>
  <conditionalFormatting sqref="F75:I79">
    <cfRule type="cellIs" priority="261" stopIfTrue="1" operator="greaterThan">
      <formula>0</formula>
    </cfRule>
  </conditionalFormatting>
  <conditionalFormatting sqref="F172:Z172">
    <cfRule type="expression" dxfId="276" priority="254">
      <formula>ISBLANK(F172)</formula>
    </cfRule>
  </conditionalFormatting>
  <conditionalFormatting sqref="G14 J14">
    <cfRule type="expression" dxfId="275" priority="118">
      <formula>$AL$14=1</formula>
    </cfRule>
  </conditionalFormatting>
  <conditionalFormatting sqref="H61 L61">
    <cfRule type="expression" dxfId="274" priority="321">
      <formula>$AM$61=1</formula>
    </cfRule>
  </conditionalFormatting>
  <conditionalFormatting sqref="H95:H101 M95:M101">
    <cfRule type="cellIs" priority="316" stopIfTrue="1" operator="greaterThan">
      <formula>0</formula>
    </cfRule>
  </conditionalFormatting>
  <conditionalFormatting sqref="H96 M96">
    <cfRule type="expression" dxfId="273" priority="376">
      <formula>$AL$96=2</formula>
    </cfRule>
  </conditionalFormatting>
  <conditionalFormatting sqref="H97 M97">
    <cfRule type="expression" dxfId="272" priority="374">
      <formula>$AL$97=2</formula>
    </cfRule>
  </conditionalFormatting>
  <conditionalFormatting sqref="H98 M98">
    <cfRule type="expression" dxfId="271" priority="372">
      <formula>$AL$98=2</formula>
    </cfRule>
  </conditionalFormatting>
  <conditionalFormatting sqref="H99 M99">
    <cfRule type="expression" dxfId="270" priority="370">
      <formula>$AL$99=2</formula>
    </cfRule>
  </conditionalFormatting>
  <conditionalFormatting sqref="H100 M100">
    <cfRule type="expression" dxfId="269" priority="368">
      <formula>$AL$100=2</formula>
    </cfRule>
  </conditionalFormatting>
  <conditionalFormatting sqref="H101 M101">
    <cfRule type="expression" dxfId="268" priority="366">
      <formula>$AL$101=2</formula>
    </cfRule>
  </conditionalFormatting>
  <conditionalFormatting sqref="H57:J59 U57:X59">
    <cfRule type="expression" dxfId="267" priority="314">
      <formula>ISBLANK(H57)</formula>
    </cfRule>
  </conditionalFormatting>
  <conditionalFormatting sqref="H95:J95">
    <cfRule type="expression" priority="284" stopIfTrue="1">
      <formula>$AN$95=2</formula>
    </cfRule>
  </conditionalFormatting>
  <conditionalFormatting sqref="H95:J101 X95:Z101 AC95:AF101">
    <cfRule type="expression" dxfId="266" priority="231">
      <formula>$AM$58=1</formula>
    </cfRule>
    <cfRule type="expression" dxfId="265" priority="232">
      <formula>$AM$58=2</formula>
    </cfRule>
  </conditionalFormatting>
  <conditionalFormatting sqref="I26">
    <cfRule type="expression" dxfId="264" priority="73">
      <formula>$AM$16=3</formula>
    </cfRule>
  </conditionalFormatting>
  <conditionalFormatting sqref="I39">
    <cfRule type="expression" dxfId="263" priority="69">
      <formula>$AM$16=3</formula>
    </cfRule>
  </conditionalFormatting>
  <conditionalFormatting sqref="I75">
    <cfRule type="expression" dxfId="262" priority="1391">
      <formula>AQ73=2</formula>
    </cfRule>
  </conditionalFormatting>
  <conditionalFormatting sqref="I76:I79">
    <cfRule type="expression" dxfId="261" priority="1393">
      <formula>AQ75=2</formula>
    </cfRule>
  </conditionalFormatting>
  <conditionalFormatting sqref="I109:I114">
    <cfRule type="expression" dxfId="260" priority="282">
      <formula>ISBLANK(I109)</formula>
    </cfRule>
  </conditionalFormatting>
  <conditionalFormatting sqref="I131 L131">
    <cfRule type="expression" dxfId="259" priority="40">
      <formula>$AL131=1</formula>
    </cfRule>
  </conditionalFormatting>
  <conditionalFormatting sqref="I131">
    <cfRule type="expression" dxfId="258" priority="39">
      <formula>$AM131=2</formula>
    </cfRule>
  </conditionalFormatting>
  <conditionalFormatting sqref="I137 L137">
    <cfRule type="expression" dxfId="257" priority="25">
      <formula>$AL137=1</formula>
    </cfRule>
  </conditionalFormatting>
  <conditionalFormatting sqref="I149 L149">
    <cfRule type="expression" dxfId="256" priority="226">
      <formula>$AM$147=2</formula>
    </cfRule>
  </conditionalFormatting>
  <conditionalFormatting sqref="I26:J26">
    <cfRule type="expression" dxfId="255" priority="72">
      <formula>$AL$14=1</formula>
    </cfRule>
  </conditionalFormatting>
  <conditionalFormatting sqref="I39:J39">
    <cfRule type="expression" dxfId="254" priority="68">
      <formula>$AL$14=1</formula>
    </cfRule>
  </conditionalFormatting>
  <conditionalFormatting sqref="J16:J20">
    <cfRule type="expression" dxfId="253" priority="440">
      <formula>ISBLANK(J16)</formula>
    </cfRule>
  </conditionalFormatting>
  <conditionalFormatting sqref="J16:M21 P26:R26 T26:V26 X26:Z26 AB26:AD26 AF26:AH26 P39:R39 T39:V39 X39:Z39 AB39:AD39 AF39:AH39">
    <cfRule type="expression" dxfId="252" priority="100">
      <formula>$AM$16=1</formula>
    </cfRule>
    <cfRule type="expression" dxfId="251" priority="99">
      <formula>$AM$16=2</formula>
    </cfRule>
  </conditionalFormatting>
  <conditionalFormatting sqref="J21:M21">
    <cfRule type="cellIs" dxfId="250" priority="101" operator="equal">
      <formula>0</formula>
    </cfRule>
  </conditionalFormatting>
  <conditionalFormatting sqref="K69 N69 S69 U69 Z69">
    <cfRule type="cellIs" dxfId="249" priority="460" operator="greaterThan">
      <formula>0</formula>
    </cfRule>
    <cfRule type="expression" dxfId="248" priority="461">
      <formula>$AL$69=2</formula>
    </cfRule>
  </conditionalFormatting>
  <conditionalFormatting sqref="K71 U71">
    <cfRule type="expression" dxfId="247" priority="458">
      <formula>$AL$71=2</formula>
    </cfRule>
    <cfRule type="cellIs" dxfId="246" priority="457" operator="greaterThan">
      <formula>0</formula>
    </cfRule>
  </conditionalFormatting>
  <conditionalFormatting sqref="K95:K101 Q95:Q101">
    <cfRule type="expression" dxfId="245" priority="246">
      <formula>$AM$58=3</formula>
    </cfRule>
  </conditionalFormatting>
  <conditionalFormatting sqref="K95:L101 Q95:R101">
    <cfRule type="expression" dxfId="244" priority="245">
      <formula>$AL$56=1</formula>
    </cfRule>
  </conditionalFormatting>
  <conditionalFormatting sqref="K75:M75 U75:W75">
    <cfRule type="expression" dxfId="243" priority="1191">
      <formula>$AL$75=2</formula>
    </cfRule>
  </conditionalFormatting>
  <conditionalFormatting sqref="K75:M79 U75:W79">
    <cfRule type="cellIs" priority="1190" stopIfTrue="1" operator="greaterThan">
      <formula>0</formula>
    </cfRule>
  </conditionalFormatting>
  <conditionalFormatting sqref="K76:M76 U76:W76">
    <cfRule type="expression" dxfId="242" priority="1197">
      <formula>$AL$76=2</formula>
    </cfRule>
  </conditionalFormatting>
  <conditionalFormatting sqref="K77:M77 U77:W77">
    <cfRule type="expression" dxfId="241" priority="1203">
      <formula>$AL$77=2</formula>
    </cfRule>
  </conditionalFormatting>
  <conditionalFormatting sqref="K78:M78 U78:W78">
    <cfRule type="expression" dxfId="240" priority="1209">
      <formula>$AL$78=2</formula>
    </cfRule>
  </conditionalFormatting>
  <conditionalFormatting sqref="K79:M79 U79:W79">
    <cfRule type="expression" dxfId="239" priority="1215">
      <formula>$AL$79=2</formula>
    </cfRule>
  </conditionalFormatting>
  <conditionalFormatting sqref="L26:L34">
    <cfRule type="cellIs" dxfId="238" priority="273" stopIfTrue="1" operator="greaterThan">
      <formula>0</formula>
    </cfRule>
    <cfRule type="expression" dxfId="237" priority="334">
      <formula>$L$24=2</formula>
    </cfRule>
  </conditionalFormatting>
  <conditionalFormatting sqref="L39:L47">
    <cfRule type="expression" dxfId="236" priority="413">
      <formula>$L$37=2</formula>
    </cfRule>
    <cfRule type="cellIs" dxfId="235" priority="412" operator="greaterThan">
      <formula>0</formula>
    </cfRule>
  </conditionalFormatting>
  <conditionalFormatting sqref="L129 I129">
    <cfRule type="expression" dxfId="234" priority="46">
      <formula>$AL129=1</formula>
    </cfRule>
  </conditionalFormatting>
  <conditionalFormatting sqref="L129">
    <cfRule type="expression" dxfId="233" priority="45">
      <formula>$AM129=2</formula>
    </cfRule>
  </conditionalFormatting>
  <conditionalFormatting sqref="L149 I149">
    <cfRule type="expression" priority="225" stopIfTrue="1">
      <formula>$AN$149=3</formula>
    </cfRule>
  </conditionalFormatting>
  <conditionalFormatting sqref="L149">
    <cfRule type="expression" dxfId="232" priority="224" stopIfTrue="1">
      <formula>$AM$149=2</formula>
    </cfRule>
  </conditionalFormatting>
  <conditionalFormatting sqref="L25:N25">
    <cfRule type="expression" dxfId="231" priority="306">
      <formula>ISBLANK($L$25)</formula>
    </cfRule>
    <cfRule type="cellIs" priority="305" operator="greaterThan">
      <formula>0</formula>
    </cfRule>
  </conditionalFormatting>
  <conditionalFormatting sqref="L26:N26">
    <cfRule type="expression" dxfId="230" priority="64">
      <formula>$AM$16=2</formula>
    </cfRule>
    <cfRule type="expression" dxfId="229" priority="65">
      <formula>$AM$16=1</formula>
    </cfRule>
  </conditionalFormatting>
  <conditionalFormatting sqref="L38:N38">
    <cfRule type="expression" dxfId="228" priority="304">
      <formula>ISBLANK($L$38)</formula>
    </cfRule>
    <cfRule type="cellIs" priority="303" operator="greaterThan">
      <formula>0</formula>
    </cfRule>
  </conditionalFormatting>
  <conditionalFormatting sqref="L39:N39">
    <cfRule type="expression" dxfId="227" priority="58">
      <formula>$AM$16=1</formula>
    </cfRule>
    <cfRule type="expression" dxfId="226" priority="57">
      <formula>$AM$16=2</formula>
    </cfRule>
  </conditionalFormatting>
  <conditionalFormatting sqref="M95 H95">
    <cfRule type="expression" dxfId="225" priority="1378">
      <formula>$AL$95=2</formula>
    </cfRule>
  </conditionalFormatting>
  <conditionalFormatting sqref="M109:M114">
    <cfRule type="expression" dxfId="224" priority="271">
      <formula>ISBLANK(M109)</formula>
    </cfRule>
  </conditionalFormatting>
  <conditionalFormatting sqref="M95:P95">
    <cfRule type="expression" priority="378" stopIfTrue="1">
      <formula>$AO$95=2</formula>
    </cfRule>
  </conditionalFormatting>
  <conditionalFormatting sqref="M95:P101">
    <cfRule type="expression" dxfId="223" priority="230">
      <formula>$AM$58=2</formula>
    </cfRule>
    <cfRule type="expression" dxfId="222" priority="229">
      <formula>$AM$58=1</formula>
    </cfRule>
  </conditionalFormatting>
  <conditionalFormatting sqref="N16:N21">
    <cfRule type="expression" dxfId="221" priority="109">
      <formula>$AM$16=3</formula>
    </cfRule>
  </conditionalFormatting>
  <conditionalFormatting sqref="N56 S56">
    <cfRule type="expression" dxfId="220" priority="455">
      <formula>$AL$56=1</formula>
    </cfRule>
  </conditionalFormatting>
  <conditionalFormatting sqref="N16:O21">
    <cfRule type="expression" dxfId="219" priority="108">
      <formula>$AL$14=1</formula>
    </cfRule>
  </conditionalFormatting>
  <conditionalFormatting sqref="O133 R133">
    <cfRule type="expression" dxfId="218" priority="44">
      <formula>$AM131=2</formula>
    </cfRule>
  </conditionalFormatting>
  <conditionalFormatting sqref="O135 R135">
    <cfRule type="expression" dxfId="217" priority="42">
      <formula>$AM131=2</formula>
    </cfRule>
  </conditionalFormatting>
  <conditionalFormatting sqref="O139 R139">
    <cfRule type="expression" dxfId="216" priority="24">
      <formula>$AM137=2</formula>
    </cfRule>
  </conditionalFormatting>
  <conditionalFormatting sqref="O91:R91 W91:Z91">
    <cfRule type="cellIs" dxfId="215" priority="61" operator="equal">
      <formula>0</formula>
    </cfRule>
  </conditionalFormatting>
  <conditionalFormatting sqref="O91:R91">
    <cfRule type="expression" dxfId="214" priority="1389">
      <formula>$AQ$91=3</formula>
    </cfRule>
  </conditionalFormatting>
  <conditionalFormatting sqref="P39:P47">
    <cfRule type="cellIs" dxfId="213" priority="1071" operator="greaterThan">
      <formula>0</formula>
    </cfRule>
    <cfRule type="expression" dxfId="212" priority="1072">
      <formula>$P$37=2</formula>
    </cfRule>
  </conditionalFormatting>
  <conditionalFormatting sqref="P173">
    <cfRule type="expression" dxfId="211" priority="252">
      <formula>ISBLANK(P173)</formula>
    </cfRule>
  </conditionalFormatting>
  <conditionalFormatting sqref="P25:R34">
    <cfRule type="expression" dxfId="210" priority="320">
      <formula>$P$24=2</formula>
    </cfRule>
    <cfRule type="cellIs" priority="319" stopIfTrue="1" operator="greaterThan">
      <formula>0</formula>
    </cfRule>
  </conditionalFormatting>
  <conditionalFormatting sqref="R133 O133">
    <cfRule type="expression" priority="43" stopIfTrue="1">
      <formula>$AL133=2</formula>
    </cfRule>
  </conditionalFormatting>
  <conditionalFormatting sqref="R133">
    <cfRule type="expression" dxfId="209" priority="38" stopIfTrue="1">
      <formula>$AM133=2</formula>
    </cfRule>
  </conditionalFormatting>
  <conditionalFormatting sqref="R135 O135">
    <cfRule type="expression" priority="41" stopIfTrue="1">
      <formula>$AL135=2</formula>
    </cfRule>
  </conditionalFormatting>
  <conditionalFormatting sqref="R135">
    <cfRule type="expression" dxfId="208" priority="37" stopIfTrue="1">
      <formula>$AM135=2</formula>
    </cfRule>
  </conditionalFormatting>
  <conditionalFormatting sqref="R139 O139">
    <cfRule type="expression" priority="23" stopIfTrue="1">
      <formula>$AL139=2</formula>
    </cfRule>
  </conditionalFormatting>
  <conditionalFormatting sqref="R139">
    <cfRule type="expression" dxfId="207" priority="22" stopIfTrue="1">
      <formula>$AM139=2</formula>
    </cfRule>
  </conditionalFormatting>
  <conditionalFormatting sqref="R141">
    <cfRule type="cellIs" priority="20" stopIfTrue="1" operator="greaterThan">
      <formula>0</formula>
    </cfRule>
    <cfRule type="expression" dxfId="206" priority="21">
      <formula>$AM137=2</formula>
    </cfRule>
  </conditionalFormatting>
  <conditionalFormatting sqref="S27:S28 S29:T34">
    <cfRule type="cellIs" dxfId="205" priority="330" operator="greaterThan">
      <formula>0</formula>
    </cfRule>
  </conditionalFormatting>
  <conditionalFormatting sqref="S27:S34">
    <cfRule type="expression" dxfId="204" priority="420">
      <formula>$R$24=2</formula>
    </cfRule>
  </conditionalFormatting>
  <conditionalFormatting sqref="S102">
    <cfRule type="cellIs" dxfId="203" priority="1144" operator="lessThan">
      <formula>$H102</formula>
    </cfRule>
    <cfRule type="expression" dxfId="202" priority="259">
      <formula>ISBLANK(S102)</formula>
    </cfRule>
  </conditionalFormatting>
  <conditionalFormatting sqref="S102:U102">
    <cfRule type="expression" priority="14" stopIfTrue="1">
      <formula>$H$102="0"</formula>
    </cfRule>
    <cfRule type="expression" dxfId="201" priority="1145">
      <formula>$AN$102=2</formula>
    </cfRule>
  </conditionalFormatting>
  <conditionalFormatting sqref="T12">
    <cfRule type="expression" dxfId="200" priority="15">
      <formula>ISBLANK(T12)</formula>
    </cfRule>
  </conditionalFormatting>
  <conditionalFormatting sqref="T26:T28">
    <cfRule type="cellIs" dxfId="199" priority="1137" operator="greaterThan">
      <formula>0</formula>
    </cfRule>
  </conditionalFormatting>
  <conditionalFormatting sqref="T26:T34">
    <cfRule type="expression" dxfId="198" priority="1138">
      <formula>$T$24=2</formula>
    </cfRule>
  </conditionalFormatting>
  <conditionalFormatting sqref="T39:T47">
    <cfRule type="expression" dxfId="197" priority="1116">
      <formula>$T$37=2</formula>
    </cfRule>
    <cfRule type="cellIs" dxfId="196" priority="1115" operator="greaterThan">
      <formula>0</formula>
    </cfRule>
  </conditionalFormatting>
  <conditionalFormatting sqref="U83">
    <cfRule type="cellIs" priority="7" stopIfTrue="1" operator="greaterThan">
      <formula>0</formula>
    </cfRule>
    <cfRule type="expression" dxfId="195" priority="8">
      <formula>$AQ83="Yes"</formula>
    </cfRule>
  </conditionalFormatting>
  <conditionalFormatting sqref="U85">
    <cfRule type="cellIs" dxfId="194" priority="26" operator="lessThan">
      <formula>$AS$83</formula>
    </cfRule>
  </conditionalFormatting>
  <conditionalFormatting sqref="U109:U112">
    <cfRule type="cellIs" dxfId="193" priority="277" operator="greaterThan">
      <formula>$W$89</formula>
    </cfRule>
  </conditionalFormatting>
  <conditionalFormatting sqref="U109:U114 Q109:Q114 AC114">
    <cfRule type="expression" dxfId="192" priority="150" stopIfTrue="1">
      <formula>ISBLANK(Q109)</formula>
    </cfRule>
  </conditionalFormatting>
  <conditionalFormatting sqref="U114">
    <cfRule type="expression" dxfId="191" priority="426">
      <formula>$AL$114&lt;1</formula>
    </cfRule>
  </conditionalFormatting>
  <conditionalFormatting sqref="U83:V83">
    <cfRule type="expression" dxfId="190" priority="4">
      <formula>$AQ$83="Yes"</formula>
    </cfRule>
  </conditionalFormatting>
  <conditionalFormatting sqref="U113:W113">
    <cfRule type="cellIs" dxfId="189" priority="1" operator="greaterThan">
      <formula>$W$89</formula>
    </cfRule>
  </conditionalFormatting>
  <conditionalFormatting sqref="U58:X59 X61">
    <cfRule type="expression" dxfId="188" priority="249">
      <formula>$AM$58=2</formula>
    </cfRule>
    <cfRule type="expression" dxfId="187" priority="250">
      <formula>$AM$58=1</formula>
    </cfRule>
  </conditionalFormatting>
  <conditionalFormatting sqref="U61:X61">
    <cfRule type="cellIs" priority="317" stopIfTrue="1" operator="greaterThan">
      <formula>0</formula>
    </cfRule>
    <cfRule type="expression" dxfId="186" priority="318">
      <formula>$AL$61=1</formula>
    </cfRule>
  </conditionalFormatting>
  <conditionalFormatting sqref="W17:Z17">
    <cfRule type="cellIs" dxfId="185" priority="281" operator="equal">
      <formula>0</formula>
    </cfRule>
    <cfRule type="expression" dxfId="184" priority="95">
      <formula>$AM$16=2</formula>
    </cfRule>
    <cfRule type="expression" priority="280" stopIfTrue="1">
      <formula>$AL$17=1</formula>
    </cfRule>
    <cfRule type="expression" dxfId="183" priority="96">
      <formula>$AM$16=1</formula>
    </cfRule>
  </conditionalFormatting>
  <conditionalFormatting sqref="W20:Z21">
    <cfRule type="expression" priority="278" stopIfTrue="1">
      <formula>$AL$17=1</formula>
    </cfRule>
    <cfRule type="cellIs" dxfId="182" priority="279" operator="equal">
      <formula>0</formula>
    </cfRule>
  </conditionalFormatting>
  <conditionalFormatting sqref="W91:Z91">
    <cfRule type="expression" dxfId="181" priority="1390">
      <formula>$AS$91=3</formula>
    </cfRule>
  </conditionalFormatting>
  <conditionalFormatting sqref="X26:X34">
    <cfRule type="cellIs" dxfId="180" priority="1139" operator="greaterThan">
      <formula>0</formula>
    </cfRule>
    <cfRule type="expression" dxfId="179" priority="1140">
      <formula>$X$24=2</formula>
    </cfRule>
  </conditionalFormatting>
  <conditionalFormatting sqref="X39:X47">
    <cfRule type="cellIs" dxfId="178" priority="1125" operator="greaterThan">
      <formula>0</formula>
    </cfRule>
    <cfRule type="expression" dxfId="177" priority="1126">
      <formula>$X$37=2</formula>
    </cfRule>
  </conditionalFormatting>
  <conditionalFormatting sqref="X95 AC95">
    <cfRule type="expression" dxfId="176" priority="358">
      <formula>$AM$95=2</formula>
    </cfRule>
  </conditionalFormatting>
  <conditionalFormatting sqref="X95:X96 AC95:AC96">
    <cfRule type="cellIs" priority="355" stopIfTrue="1" operator="greaterThan">
      <formula>0</formula>
    </cfRule>
  </conditionalFormatting>
  <conditionalFormatting sqref="X96 AC96">
    <cfRule type="expression" dxfId="175" priority="356">
      <formula>$AM$96=2</formula>
    </cfRule>
  </conditionalFormatting>
  <conditionalFormatting sqref="X97 AC97">
    <cfRule type="cellIs" priority="353" stopIfTrue="1" operator="greaterThan">
      <formula>1</formula>
    </cfRule>
    <cfRule type="expression" dxfId="174" priority="354">
      <formula>$AM$97=2</formula>
    </cfRule>
  </conditionalFormatting>
  <conditionalFormatting sqref="X98 AC98">
    <cfRule type="expression" dxfId="173" priority="352">
      <formula>$AM$98=2</formula>
    </cfRule>
  </conditionalFormatting>
  <conditionalFormatting sqref="X98:X101 AC98:AC101">
    <cfRule type="cellIs" priority="341" stopIfTrue="1" operator="greaterThan">
      <formula>0</formula>
    </cfRule>
  </conditionalFormatting>
  <conditionalFormatting sqref="X99 AC99">
    <cfRule type="expression" dxfId="172" priority="350">
      <formula>$AM$99=2</formula>
    </cfRule>
  </conditionalFormatting>
  <conditionalFormatting sqref="X100 AC100">
    <cfRule type="expression" dxfId="171" priority="348">
      <formula>$AM$100=2</formula>
    </cfRule>
  </conditionalFormatting>
  <conditionalFormatting sqref="X101 AC101">
    <cfRule type="expression" dxfId="170" priority="346">
      <formula>$AM$101=2</formula>
    </cfRule>
  </conditionalFormatting>
  <conditionalFormatting sqref="X173">
    <cfRule type="expression" dxfId="169" priority="253">
      <formula>ISBLANK(X173)</formula>
    </cfRule>
  </conditionalFormatting>
  <conditionalFormatting sqref="Y23 AB23 AE23 AH23">
    <cfRule type="expression" priority="218" stopIfTrue="1">
      <formula>$AL23=2</formula>
    </cfRule>
    <cfRule type="expression" dxfId="168" priority="219">
      <formula>$AL23=1</formula>
    </cfRule>
  </conditionalFormatting>
  <conditionalFormatting sqref="Y58:Y59">
    <cfRule type="expression" dxfId="167" priority="315">
      <formula>$AM$58=3</formula>
    </cfRule>
  </conditionalFormatting>
  <conditionalFormatting sqref="Y61">
    <cfRule type="expression" dxfId="166" priority="248">
      <formula>$AM$58=3</formula>
    </cfRule>
  </conditionalFormatting>
  <conditionalFormatting sqref="Y109:Y114">
    <cfRule type="cellIs" dxfId="165" priority="63" operator="greaterThan">
      <formula>$AM$116</formula>
    </cfRule>
    <cfRule type="expression" dxfId="164" priority="62" stopIfTrue="1">
      <formula>ISBLANK(Y109)</formula>
    </cfRule>
  </conditionalFormatting>
  <conditionalFormatting sqref="Y58:Z59">
    <cfRule type="expression" dxfId="163" priority="268">
      <formula>$AL$56=1</formula>
    </cfRule>
  </conditionalFormatting>
  <conditionalFormatting sqref="Y61:Z61">
    <cfRule type="expression" dxfId="162" priority="247">
      <formula>$AL$56=1</formula>
    </cfRule>
  </conditionalFormatting>
  <conditionalFormatting sqref="AA14:AA15">
    <cfRule type="expression" dxfId="161" priority="441">
      <formula>ISBLANK(AA14)</formula>
    </cfRule>
  </conditionalFormatting>
  <conditionalFormatting sqref="AA17">
    <cfRule type="expression" dxfId="160" priority="107">
      <formula>$AM$16=3</formula>
    </cfRule>
  </conditionalFormatting>
  <conditionalFormatting sqref="AA95:AA101">
    <cfRule type="expression" dxfId="159" priority="236">
      <formula>$AM$58=3</formula>
    </cfRule>
  </conditionalFormatting>
  <conditionalFormatting sqref="AA17:AB17">
    <cfRule type="expression" dxfId="158" priority="106">
      <formula>$AL$14=1</formula>
    </cfRule>
  </conditionalFormatting>
  <conditionalFormatting sqref="AA95:AB101">
    <cfRule type="expression" dxfId="157" priority="235">
      <formula>$AL$56=1</formula>
    </cfRule>
  </conditionalFormatting>
  <conditionalFormatting sqref="AA14:AD15">
    <cfRule type="expression" dxfId="156" priority="94">
      <formula>$AM$16=1</formula>
    </cfRule>
    <cfRule type="expression" dxfId="155" priority="93">
      <formula>$AM$16=2</formula>
    </cfRule>
  </conditionalFormatting>
  <conditionalFormatting sqref="AB10">
    <cfRule type="expression" dxfId="154" priority="47">
      <formula>ISBLANK(AB10)</formula>
    </cfRule>
  </conditionalFormatting>
  <conditionalFormatting sqref="AB26:AB34">
    <cfRule type="expression" dxfId="153" priority="415">
      <formula>$AB$24=2</formula>
    </cfRule>
    <cfRule type="cellIs" dxfId="152" priority="414" operator="greaterThan">
      <formula>0</formula>
    </cfRule>
  </conditionalFormatting>
  <conditionalFormatting sqref="AB39:AB47">
    <cfRule type="expression" dxfId="151" priority="1136">
      <formula>$AB$37=2</formula>
    </cfRule>
    <cfRule type="cellIs" dxfId="150" priority="1135" operator="greaterThan">
      <formula>0</formula>
    </cfRule>
  </conditionalFormatting>
  <conditionalFormatting sqref="AC6">
    <cfRule type="cellIs" dxfId="149" priority="56" operator="equal">
      <formula>0</formula>
    </cfRule>
  </conditionalFormatting>
  <conditionalFormatting sqref="AC114">
    <cfRule type="cellIs" dxfId="148" priority="1294" operator="greaterThan">
      <formula>$AM$116</formula>
    </cfRule>
  </conditionalFormatting>
  <conditionalFormatting sqref="AD177">
    <cfRule type="expression" dxfId="147" priority="255">
      <formula>ISBLANK(AD177)</formula>
    </cfRule>
  </conditionalFormatting>
  <conditionalFormatting sqref="AE14:AE15">
    <cfRule type="expression" dxfId="146" priority="103">
      <formula>$AM$16=3</formula>
    </cfRule>
  </conditionalFormatting>
  <conditionalFormatting sqref="AE69">
    <cfRule type="cellIs" dxfId="145" priority="222" operator="greaterThan">
      <formula>0</formula>
    </cfRule>
    <cfRule type="expression" dxfId="144" priority="223">
      <formula>$AL$69=2</formula>
    </cfRule>
  </conditionalFormatting>
  <conditionalFormatting sqref="AE14:AF15">
    <cfRule type="expression" dxfId="143" priority="102">
      <formula>$AL$14=1</formula>
    </cfRule>
  </conditionalFormatting>
  <conditionalFormatting sqref="AE17:AH17">
    <cfRule type="cellIs" dxfId="142" priority="92" operator="equal">
      <formula>0</formula>
    </cfRule>
    <cfRule type="expression" priority="91" stopIfTrue="1">
      <formula>$AL$17=1</formula>
    </cfRule>
  </conditionalFormatting>
  <conditionalFormatting sqref="AF59 AI59">
    <cfRule type="expression" dxfId="141" priority="1148">
      <formula>$AL$59=1</formula>
    </cfRule>
  </conditionalFormatting>
  <conditionalFormatting sqref="AF61 AI61">
    <cfRule type="expression" dxfId="140" priority="1150">
      <formula>$AM$59=1</formula>
    </cfRule>
  </conditionalFormatting>
  <conditionalFormatting sqref="AF63 AI63">
    <cfRule type="expression" dxfId="139" priority="3">
      <formula>$AL$63=1</formula>
    </cfRule>
  </conditionalFormatting>
  <conditionalFormatting sqref="AF65 AI65">
    <cfRule type="expression" dxfId="138" priority="1371">
      <formula>$AM$65=1</formula>
    </cfRule>
  </conditionalFormatting>
  <conditionalFormatting sqref="AF67 AI67">
    <cfRule type="expression" dxfId="137" priority="1372">
      <formula>$AL$67=1</formula>
    </cfRule>
  </conditionalFormatting>
  <conditionalFormatting sqref="AF71 AI71">
    <cfRule type="expression" dxfId="136" priority="217">
      <formula>$AM$71=1</formula>
    </cfRule>
  </conditionalFormatting>
  <conditionalFormatting sqref="AF73 AI73">
    <cfRule type="expression" dxfId="135" priority="323">
      <formula>$AM$73=1</formula>
    </cfRule>
  </conditionalFormatting>
  <conditionalFormatting sqref="AF75 AI75">
    <cfRule type="expression" dxfId="134" priority="322">
      <formula>$AM$75=1</formula>
    </cfRule>
  </conditionalFormatting>
  <conditionalFormatting sqref="AF81 AI81">
    <cfRule type="expression" dxfId="133" priority="11">
      <formula>$AL81=1</formula>
    </cfRule>
    <cfRule type="expression" priority="10">
      <formula>$AL81=2</formula>
    </cfRule>
  </conditionalFormatting>
  <conditionalFormatting sqref="AF83 AI83 AF85 AI85">
    <cfRule type="expression" dxfId="132" priority="35">
      <formula>$AO83=1</formula>
    </cfRule>
  </conditionalFormatting>
  <conditionalFormatting sqref="AF87 AI87">
    <cfRule type="expression" dxfId="131" priority="2">
      <formula>$AL$87=1</formula>
    </cfRule>
  </conditionalFormatting>
  <conditionalFormatting sqref="AF89">
    <cfRule type="expression" dxfId="130" priority="425">
      <formula>ISBLANK(AF89)</formula>
    </cfRule>
  </conditionalFormatting>
  <conditionalFormatting sqref="AF29:AH34 AF42:AH47">
    <cfRule type="expression" dxfId="129" priority="269">
      <formula>ISBLANK(AF29)</formula>
    </cfRule>
  </conditionalFormatting>
  <conditionalFormatting sqref="AF30:AH34">
    <cfRule type="cellIs" dxfId="128" priority="264" operator="equal">
      <formula>0</formula>
    </cfRule>
  </conditionalFormatting>
  <conditionalFormatting sqref="AF43:AH47">
    <cfRule type="cellIs" dxfId="127" priority="263" operator="equal">
      <formula>0</formula>
    </cfRule>
  </conditionalFormatting>
  <conditionalFormatting sqref="AG95:AG101">
    <cfRule type="expression" dxfId="126" priority="242">
      <formula>$AM$58=3</formula>
    </cfRule>
  </conditionalFormatting>
  <conditionalFormatting sqref="AG109:AG114">
    <cfRule type="expression" dxfId="125" priority="146">
      <formula>ISBLANK(AG109)</formula>
    </cfRule>
    <cfRule type="expression" dxfId="124" priority="206">
      <formula>$AN109=1</formula>
    </cfRule>
  </conditionalFormatting>
  <conditionalFormatting sqref="AG95:AH101">
    <cfRule type="expression" dxfId="123" priority="241">
      <formula>$AL$56=1</formula>
    </cfRule>
  </conditionalFormatting>
  <conditionalFormatting sqref="AG109:AI114">
    <cfRule type="expression" dxfId="122" priority="1146">
      <formula>$AO109=1</formula>
    </cfRule>
    <cfRule type="expression" dxfId="121" priority="1147">
      <formula>$AP109=1</formula>
    </cfRule>
  </conditionalFormatting>
  <conditionalFormatting sqref="AI63">
    <cfRule type="expression" dxfId="120" priority="1222">
      <formula>$AM$63=2</formula>
    </cfRule>
  </conditionalFormatting>
  <conditionalFormatting sqref="AI71">
    <cfRule type="expression" dxfId="119" priority="326">
      <formula>$AN$71=2</formula>
    </cfRule>
  </conditionalFormatting>
  <conditionalFormatting sqref="AI83 AI85">
    <cfRule type="expression" dxfId="118" priority="36">
      <formula>$AP83=2</formula>
    </cfRule>
  </conditionalFormatting>
  <conditionalFormatting sqref="AI87">
    <cfRule type="expression" dxfId="117" priority="337">
      <formula>$AO$87=2</formula>
    </cfRule>
  </conditionalFormatting>
  <dataValidations count="2">
    <dataValidation type="list" allowBlank="1" showInputMessage="1" showErrorMessage="1" sqref="F71:I71 F73:I73 O88:Q88 P63:R63 F69:I69 F75:I79" xr:uid="{63621920-5D12-4DF3-9DE5-C7A0F554523C}">
      <formula1>Shape</formula1>
    </dataValidation>
    <dataValidation type="list" allowBlank="1" showInputMessage="1" showErrorMessage="1" sqref="F63:I63 F88:I88" xr:uid="{D0D1DDA9-E312-4A42-A913-7BF4F8BCDBFA}">
      <formula1>Material</formula1>
    </dataValidation>
  </dataValidations>
  <pageMargins left="0.2" right="0.2" top="0.5" bottom="0.25" header="0.3" footer="0.3"/>
  <pageSetup orientation="portrait" r:id="rId1"/>
  <rowBreaks count="3" manualBreakCount="3">
    <brk id="53" max="16383" man="1"/>
    <brk id="104" max="16383" man="1"/>
    <brk id="158" max="16383" man="1"/>
  </rowBreaks>
  <colBreaks count="1" manualBreakCount="1">
    <brk id="46" max="1048575" man="1"/>
  </colBreaks>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998F1E98-0479-4245-8F54-19F93D4CF78E}">
          <x14:formula1>
            <xm:f>Tables!$F$2:$F$7</xm:f>
          </x14:formula1>
          <xm:sqref>W103:Y104 W200:Y202 H200:H202 H53 W158:Y158 W53:Y53 H158 H103:H104 F72:I72 H48 W48:Y48</xm:sqref>
        </x14:dataValidation>
        <x14:dataValidation type="list" allowBlank="1" showInputMessage="1" showErrorMessage="1" xr:uid="{C2C4810C-2651-4FCD-B8A4-95802102B039}">
          <x14:formula1>
            <xm:f>Tables!$H$2:$H$5</xm:f>
          </x14:formula1>
          <xm:sqref>C73</xm:sqref>
        </x14:dataValidation>
        <x14:dataValidation type="list" allowBlank="1" showInputMessage="1" showErrorMessage="1" xr:uid="{0A75D05C-E913-4A6F-B739-B4602DDB4488}">
          <x14:formula1>
            <xm:f>Tables!$H$2:$H$4</xm:f>
          </x14:formula1>
          <xm:sqref>C75:C79</xm:sqref>
        </x14:dataValidation>
        <x14:dataValidation type="list" allowBlank="1" showInputMessage="1" showErrorMessage="1" xr:uid="{D740FFD3-628B-4617-9F6C-ED0F2ABF4D3F}">
          <x14:formula1>
            <xm:f>Tables!$H$9:$H$14</xm:f>
          </x14:formula1>
          <xm:sqref>F83</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55225008-6835-4D0F-9343-B8A6EC4E81A7}">
          <x14:formula1>
            <xm:f>Tables!$B$8</xm:f>
          </x14:formula1>
          <xm:sqref>C155 E7:X8 AE7:AJ8 F10 M10 T10 AB10 G14 J14 J16:M20 AA14:AD15 Y23 AB23 AE23 AH23 L25:N34 P25:R34 T25:V34 X25:Z34 AB25:AD34 AF26:AH26 AF29:AH34 L38:N47 P38:R47 T38:V47 X38:Z47 AB38:AD47 AF39:AH39 AF42:AH47 N56 S56 H57:J59 U57:X59 H61 L61 U61:X61 AF59 AI59 AI61 AF61 AF63 AI63 AF65 AI65 AI71 AF71 AF73 AI73 AI75 AF75 AE69:AG69 Z69:AB69 F64:I65 F67:I67 P65:R65 P67:R67 K69:M69 K71:M71 K73:M73 P75:R79 U75:W79 P73:R73 P71:R71 P69:R69 U69:W69 U71:W71 U73:W73 M85 F89:I89 O89:Q89 W89:Y89 AF89:AH89 AF87 AI87 W91:Z91 O91:R91 AC114:AE114 F85 K75:M79 AF83 AF85 AI83 AI85 F155 C95:E101 H95:J101 M95:P101 X95:Z101 S95:U102 AC95:AF102 I109:K114 M109:O114 Q109:S114 U109:W114 Y109:AA114 AC6 AG109:AI114 B116:AJ122 C125 F125 C127 F127 I129 L129 I131 L131 O133 O135 R135 R133 C143 F143 C145 F145 C147 F147 C151 F151 I149 L149 C153 F153 F170:Z172 F173:L173 P173:S173 X173:Z173 F174:Z174 F175:J175 AD177:AH177 I137 L137 O139 R139 U85 AF67 AI67 AF81 AI81 F12 T12 C51 F51</xm:sqref>
        </x14:dataValidation>
        <x14:dataValidation type="list" allowBlank="1" showInputMessage="1" showErrorMessage="1" xr:uid="{E2DAA2FB-2810-4FCF-B382-F6552133106B}">
          <x14:formula1>
            <xm:f>Tables!$K$27:$K$30</xm:f>
          </x14:formula1>
          <xm:sqref>R141</xm:sqref>
        </x14:dataValidation>
        <x14:dataValidation type="list" allowBlank="1" showInputMessage="1" showErrorMessage="1" xr:uid="{379E140E-19EF-4AB9-8C5D-83AFF371806A}">
          <x14:formula1>
            <xm:f>Tables!$H$18:$H$22</xm:f>
          </x14:formula1>
          <xm:sqref>U83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40FC-239C-4B7E-928C-842CA3520C8D}">
  <sheetPr codeName="Sheet6">
    <tabColor theme="8" tint="0.39997558519241921"/>
  </sheetPr>
  <dimension ref="A1:CE282"/>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11" width="2.6640625" style="21" customWidth="1"/>
    <col min="12" max="12" width="3.77734375" style="21" customWidth="1"/>
    <col min="13" max="13" width="2.77734375" style="21" customWidth="1"/>
    <col min="14" max="29" width="2.6640625" style="21" customWidth="1"/>
    <col min="30" max="30" width="3.77734375" style="21" customWidth="1"/>
    <col min="31" max="37" width="2.6640625" style="21" customWidth="1"/>
    <col min="38" max="38" width="2.44140625" style="21" customWidth="1"/>
    <col min="39" max="39" width="10.33203125" style="15" hidden="1" customWidth="1"/>
    <col min="40" max="40" width="9.21875" style="14" hidden="1" customWidth="1"/>
    <col min="41" max="41" width="11" style="15" hidden="1" customWidth="1"/>
    <col min="42" max="44" width="7.21875" style="15" hidden="1" customWidth="1"/>
    <col min="45" max="46" width="10.77734375" style="15" hidden="1" customWidth="1"/>
    <col min="47" max="47" width="3.77734375" style="21" customWidth="1"/>
    <col min="48" max="48" width="3.77734375" style="16" customWidth="1"/>
    <col min="49" max="82" width="2.77734375" style="21" customWidth="1"/>
    <col min="83" max="83" width="2.77734375" style="21" hidden="1" customWidth="1"/>
    <col min="84" max="16384" width="8.88671875" style="21" hidden="1"/>
  </cols>
  <sheetData>
    <row r="1" spans="1:81" ht="15" customHeight="1" x14ac:dyDescent="0.3">
      <c r="N1" s="3"/>
      <c r="O1" s="3"/>
      <c r="P1" s="3"/>
      <c r="Q1" s="3"/>
      <c r="R1" s="17"/>
      <c r="S1" s="17"/>
      <c r="T1" s="17"/>
      <c r="V1" s="17"/>
      <c r="W1" s="172" t="s">
        <v>200</v>
      </c>
      <c r="X1" s="172"/>
      <c r="Y1" s="172"/>
      <c r="Z1" s="172"/>
      <c r="AA1" s="172"/>
      <c r="AB1" s="172"/>
      <c r="AC1" s="172"/>
      <c r="AD1" s="172"/>
      <c r="AE1" s="172"/>
      <c r="AF1" s="172"/>
      <c r="AG1" s="172"/>
      <c r="AH1" s="172"/>
      <c r="AI1" s="172"/>
      <c r="AJ1" s="172"/>
      <c r="AK1" s="172"/>
      <c r="AL1" s="172"/>
      <c r="BC1" s="17"/>
      <c r="BD1" s="17"/>
      <c r="BE1" s="17"/>
      <c r="BF1" s="17"/>
      <c r="BG1" s="17"/>
      <c r="BH1" s="17"/>
      <c r="BI1" s="17"/>
      <c r="BJ1" s="17"/>
      <c r="BK1" s="17"/>
      <c r="BO1" s="172" t="str">
        <f>W1</f>
        <v>Form 3B - Retention Pond
As-Built Certification Form</v>
      </c>
      <c r="BP1" s="172"/>
      <c r="BQ1" s="172"/>
      <c r="BR1" s="172"/>
      <c r="BS1" s="172"/>
      <c r="BT1" s="172"/>
      <c r="BU1" s="172"/>
      <c r="BV1" s="172"/>
      <c r="BW1" s="172"/>
      <c r="BX1" s="172"/>
      <c r="BY1" s="172"/>
      <c r="BZ1" s="172"/>
      <c r="CA1" s="172"/>
      <c r="CB1" s="172"/>
      <c r="CC1" s="17"/>
    </row>
    <row r="2" spans="1:81" ht="15" customHeight="1" x14ac:dyDescent="0.3">
      <c r="J2" s="3"/>
      <c r="K2" s="3"/>
      <c r="L2" s="3"/>
      <c r="M2" s="3"/>
      <c r="N2" s="3"/>
      <c r="O2" s="3"/>
      <c r="P2" s="3"/>
      <c r="Q2" s="3"/>
      <c r="R2" s="17"/>
      <c r="S2" s="17"/>
      <c r="T2" s="17"/>
      <c r="U2" s="17"/>
      <c r="V2" s="17"/>
      <c r="W2" s="172"/>
      <c r="X2" s="172"/>
      <c r="Y2" s="172"/>
      <c r="Z2" s="172"/>
      <c r="AA2" s="172"/>
      <c r="AB2" s="172"/>
      <c r="AC2" s="172"/>
      <c r="AD2" s="172"/>
      <c r="AE2" s="172"/>
      <c r="AF2" s="172"/>
      <c r="AG2" s="172"/>
      <c r="AH2" s="172"/>
      <c r="AI2" s="172"/>
      <c r="AJ2" s="172"/>
      <c r="AK2" s="172"/>
      <c r="AL2" s="172"/>
      <c r="BB2" s="17"/>
      <c r="BC2" s="17"/>
      <c r="BD2" s="17"/>
      <c r="BE2" s="17"/>
      <c r="BF2" s="17"/>
      <c r="BG2" s="17"/>
      <c r="BH2" s="17"/>
      <c r="BI2" s="17"/>
      <c r="BJ2" s="17"/>
      <c r="BK2" s="17"/>
      <c r="BO2" s="172"/>
      <c r="BP2" s="172"/>
      <c r="BQ2" s="172"/>
      <c r="BR2" s="172"/>
      <c r="BS2" s="172"/>
      <c r="BT2" s="172"/>
      <c r="BU2" s="172"/>
      <c r="BV2" s="172"/>
      <c r="BW2" s="172"/>
      <c r="BX2" s="172"/>
      <c r="BY2" s="172"/>
      <c r="BZ2" s="172"/>
      <c r="CA2" s="172"/>
      <c r="CB2" s="172"/>
      <c r="CC2" s="17"/>
    </row>
    <row r="3" spans="1:81" ht="15" customHeight="1" x14ac:dyDescent="0.3">
      <c r="J3" s="3"/>
      <c r="K3" s="3"/>
      <c r="L3" s="3"/>
      <c r="U3" s="17"/>
      <c r="V3" s="17"/>
      <c r="W3" s="172"/>
      <c r="X3" s="172"/>
      <c r="Y3" s="172"/>
      <c r="Z3" s="172"/>
      <c r="AA3" s="172"/>
      <c r="AB3" s="172"/>
      <c r="AC3" s="172"/>
      <c r="AD3" s="172"/>
      <c r="AE3" s="172"/>
      <c r="AF3" s="172"/>
      <c r="AG3" s="172"/>
      <c r="AH3" s="172"/>
      <c r="AI3" s="172"/>
      <c r="AJ3" s="172"/>
      <c r="AK3" s="172"/>
      <c r="AL3" s="172"/>
      <c r="BB3" s="17"/>
      <c r="BC3" s="17"/>
      <c r="BD3" s="17"/>
      <c r="BE3" s="17"/>
      <c r="BF3" s="17"/>
      <c r="BG3" s="17"/>
      <c r="BH3" s="17"/>
      <c r="BI3" s="17"/>
      <c r="BJ3" s="17"/>
      <c r="BK3" s="17"/>
      <c r="BO3" s="172"/>
      <c r="BP3" s="172"/>
      <c r="BQ3" s="172"/>
      <c r="BR3" s="172"/>
      <c r="BS3" s="172"/>
      <c r="BT3" s="172"/>
      <c r="BU3" s="172"/>
      <c r="BV3" s="172"/>
      <c r="BW3" s="172"/>
      <c r="BX3" s="172"/>
      <c r="BY3" s="172"/>
      <c r="BZ3" s="172"/>
      <c r="CA3" s="172"/>
      <c r="CB3" s="172"/>
      <c r="CC3" s="17"/>
    </row>
    <row r="4" spans="1:81" ht="15" customHeight="1" x14ac:dyDescent="0.3">
      <c r="J4" s="3"/>
      <c r="K4" s="3"/>
      <c r="L4" s="3"/>
      <c r="M4" s="3"/>
      <c r="N4" s="3"/>
      <c r="O4" s="3"/>
      <c r="P4" s="3"/>
      <c r="Q4" s="3"/>
      <c r="R4" s="17"/>
      <c r="S4" s="17"/>
      <c r="T4" s="17"/>
      <c r="U4" s="17"/>
      <c r="V4" s="17"/>
      <c r="W4" s="172"/>
      <c r="X4" s="172"/>
      <c r="Y4" s="172"/>
      <c r="Z4" s="172"/>
      <c r="AA4" s="172"/>
      <c r="AB4" s="172"/>
      <c r="AC4" s="172"/>
      <c r="AD4" s="172"/>
      <c r="AE4" s="172"/>
      <c r="AF4" s="172"/>
      <c r="AG4" s="172"/>
      <c r="AH4" s="172"/>
      <c r="AI4" s="172"/>
      <c r="AJ4" s="172"/>
      <c r="AK4" s="172"/>
      <c r="AL4" s="172"/>
      <c r="BB4" s="17"/>
      <c r="BC4" s="17"/>
      <c r="BD4" s="17"/>
      <c r="BE4" s="17"/>
      <c r="BF4" s="17"/>
      <c r="BG4" s="17"/>
      <c r="BH4" s="17"/>
      <c r="BI4" s="17"/>
      <c r="BJ4" s="17"/>
      <c r="BK4" s="17"/>
      <c r="BO4" s="172"/>
      <c r="BP4" s="172"/>
      <c r="BQ4" s="172"/>
      <c r="BR4" s="172"/>
      <c r="BS4" s="172"/>
      <c r="BT4" s="172"/>
      <c r="BU4" s="172"/>
      <c r="BV4" s="172"/>
      <c r="BW4" s="172"/>
      <c r="BX4" s="172"/>
      <c r="BY4" s="172"/>
      <c r="BZ4" s="172"/>
      <c r="CA4" s="172"/>
      <c r="CB4" s="172"/>
      <c r="CC4" s="17"/>
    </row>
    <row r="5" spans="1:81" ht="4.95" customHeight="1" x14ac:dyDescent="0.3">
      <c r="J5" s="3"/>
      <c r="K5" s="3"/>
      <c r="L5" s="3"/>
      <c r="M5" s="3"/>
      <c r="N5" s="3"/>
      <c r="O5" s="3"/>
      <c r="P5" s="3"/>
      <c r="Q5" s="3"/>
      <c r="R5" s="18"/>
      <c r="S5" s="18"/>
      <c r="T5" s="18"/>
      <c r="U5" s="18"/>
      <c r="V5" s="18"/>
      <c r="W5" s="18"/>
      <c r="X5" s="18"/>
      <c r="Y5" s="18"/>
      <c r="Z5" s="18"/>
      <c r="AA5" s="18"/>
      <c r="AB5" s="18"/>
      <c r="AC5" s="18"/>
      <c r="AD5" s="18"/>
      <c r="AE5" s="18"/>
      <c r="AF5" s="18"/>
      <c r="AG5" s="18"/>
      <c r="AH5" s="18"/>
      <c r="AI5" s="18"/>
      <c r="AJ5" s="18"/>
      <c r="AK5" s="18"/>
    </row>
    <row r="6" spans="1:81" ht="15" customHeight="1" x14ac:dyDescent="0.3">
      <c r="A6" s="1" t="s">
        <v>0</v>
      </c>
      <c r="C6" s="1"/>
      <c r="D6" s="1"/>
      <c r="E6" s="1"/>
      <c r="F6" s="1"/>
      <c r="G6" s="1"/>
      <c r="H6" s="1"/>
      <c r="I6" s="1"/>
      <c r="AC6" s="2" t="s">
        <v>387</v>
      </c>
      <c r="AD6" s="220">
        <f>'Form 2B.1 - Design'!AC6</f>
        <v>0</v>
      </c>
      <c r="AE6" s="220"/>
      <c r="AF6" s="220"/>
      <c r="AG6" s="220"/>
      <c r="AH6" s="220"/>
      <c r="AI6" s="220"/>
      <c r="AJ6" s="220"/>
      <c r="AK6" s="220"/>
      <c r="AM6" s="87">
        <f>LEN(AD6)</f>
        <v>1</v>
      </c>
      <c r="AV6" s="181" t="s">
        <v>64</v>
      </c>
      <c r="AW6" s="181"/>
      <c r="AX6" s="181"/>
      <c r="AY6" s="181"/>
      <c r="AZ6" s="181"/>
      <c r="BA6" s="181"/>
      <c r="BB6" s="181"/>
      <c r="BC6" s="181"/>
      <c r="BD6" s="181"/>
      <c r="BE6" s="181"/>
      <c r="BF6" s="181"/>
      <c r="BG6" s="181"/>
      <c r="BH6" s="181"/>
      <c r="BI6" s="181"/>
    </row>
    <row r="7" spans="1:81" ht="14.55" customHeight="1" x14ac:dyDescent="0.3">
      <c r="C7" s="2"/>
      <c r="D7" s="2" t="s">
        <v>1</v>
      </c>
      <c r="E7" s="199">
        <f>'Form 2B.1 - Design'!$E$7</f>
        <v>0</v>
      </c>
      <c r="F7" s="199"/>
      <c r="G7" s="199"/>
      <c r="H7" s="199"/>
      <c r="I7" s="199"/>
      <c r="J7" s="199"/>
      <c r="K7" s="199"/>
      <c r="L7" s="199"/>
      <c r="M7" s="199"/>
      <c r="N7" s="199"/>
      <c r="O7" s="199"/>
      <c r="P7" s="199"/>
      <c r="Q7" s="199"/>
      <c r="R7" s="199"/>
      <c r="S7" s="199"/>
      <c r="T7" s="199"/>
      <c r="U7" s="199"/>
      <c r="V7" s="199"/>
      <c r="W7" s="199"/>
      <c r="X7" s="199"/>
      <c r="Y7" s="199"/>
      <c r="Z7" s="199"/>
      <c r="AE7" s="2" t="s">
        <v>19</v>
      </c>
      <c r="AF7" s="188"/>
      <c r="AG7" s="188"/>
      <c r="AH7" s="188"/>
      <c r="AI7" s="188"/>
      <c r="AJ7" s="188"/>
      <c r="AK7" s="188"/>
      <c r="AV7" s="181"/>
      <c r="AW7" s="181"/>
      <c r="AX7" s="181"/>
      <c r="AY7" s="181"/>
      <c r="AZ7" s="181"/>
      <c r="BA7" s="181"/>
      <c r="BB7" s="181"/>
      <c r="BC7" s="181"/>
      <c r="BD7" s="181"/>
      <c r="BE7" s="181"/>
      <c r="BF7" s="181"/>
      <c r="BG7" s="181"/>
      <c r="BH7" s="181"/>
      <c r="BI7" s="181"/>
    </row>
    <row r="8" spans="1:81" ht="14.55" customHeight="1" x14ac:dyDescent="0.3">
      <c r="C8" s="2"/>
      <c r="D8" s="2" t="s">
        <v>18</v>
      </c>
      <c r="E8" s="243">
        <f>'Form 2B.1 - Design'!$E$8</f>
        <v>0</v>
      </c>
      <c r="F8" s="243"/>
      <c r="G8" s="243"/>
      <c r="H8" s="243"/>
      <c r="I8" s="243"/>
      <c r="J8" s="243"/>
      <c r="K8" s="243"/>
      <c r="L8" s="243"/>
      <c r="M8" s="243"/>
      <c r="N8" s="243"/>
      <c r="O8" s="243"/>
      <c r="P8" s="243"/>
      <c r="Q8" s="243"/>
      <c r="R8" s="243"/>
      <c r="S8" s="243"/>
      <c r="T8" s="243"/>
      <c r="U8" s="243"/>
      <c r="V8" s="243"/>
      <c r="W8" s="243"/>
      <c r="X8" s="243"/>
      <c r="Y8" s="243"/>
      <c r="Z8" s="243"/>
      <c r="AE8" s="2" t="s">
        <v>32</v>
      </c>
      <c r="AF8" s="187">
        <f>'Form 2B.1 - Design'!AE8</f>
        <v>0</v>
      </c>
      <c r="AG8" s="187"/>
      <c r="AH8" s="187"/>
      <c r="AI8" s="187"/>
      <c r="AJ8" s="187"/>
      <c r="AK8" s="187"/>
      <c r="AV8" s="16">
        <v>1</v>
      </c>
      <c r="AW8" s="65" t="s">
        <v>88</v>
      </c>
    </row>
    <row r="9" spans="1:81" ht="15" customHeight="1" x14ac:dyDescent="0.3">
      <c r="H9" s="2"/>
      <c r="I9" s="2"/>
      <c r="AW9" s="4" t="s">
        <v>90</v>
      </c>
      <c r="AX9" s="65" t="s">
        <v>199</v>
      </c>
    </row>
    <row r="10" spans="1:81" ht="14.55" customHeight="1" x14ac:dyDescent="0.3">
      <c r="B10" s="21" t="s">
        <v>116</v>
      </c>
      <c r="G10" s="162"/>
      <c r="H10" s="21" t="s">
        <v>113</v>
      </c>
      <c r="O10" s="162"/>
      <c r="P10" s="21" t="s">
        <v>114</v>
      </c>
      <c r="W10" s="4"/>
      <c r="X10" s="4"/>
      <c r="AA10" s="162"/>
      <c r="AB10" s="21" t="str">
        <f>Tables!F24</f>
        <v xml:space="preserve"> O&amp;M Plan</v>
      </c>
      <c r="AW10" s="4" t="s">
        <v>91</v>
      </c>
      <c r="AX10" s="65" t="s">
        <v>89</v>
      </c>
    </row>
    <row r="11" spans="1:81" ht="4.95" customHeight="1" x14ac:dyDescent="0.3"/>
    <row r="12" spans="1:81" ht="15" customHeight="1" x14ac:dyDescent="0.3">
      <c r="G12" s="162"/>
      <c r="H12" s="21" t="s">
        <v>529</v>
      </c>
      <c r="J12" s="2"/>
      <c r="K12" s="2"/>
      <c r="AA12" s="162"/>
      <c r="AB12" s="21" t="s">
        <v>190</v>
      </c>
      <c r="AV12" s="16">
        <f>AV8+1</f>
        <v>2</v>
      </c>
      <c r="AW12" s="65" t="s">
        <v>100</v>
      </c>
      <c r="AX12" s="99"/>
    </row>
    <row r="13" spans="1:81" ht="15" customHeight="1" x14ac:dyDescent="0.3">
      <c r="AW13" s="4" t="s">
        <v>90</v>
      </c>
      <c r="AX13" s="65" t="s">
        <v>254</v>
      </c>
    </row>
    <row r="14" spans="1:81" ht="15" customHeight="1" x14ac:dyDescent="0.3">
      <c r="A14" s="227" t="s">
        <v>153</v>
      </c>
      <c r="B14" s="227"/>
      <c r="C14" s="227"/>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7"/>
      <c r="AK14" s="227"/>
      <c r="AL14" s="227"/>
      <c r="AX14" s="65" t="s">
        <v>255</v>
      </c>
    </row>
    <row r="15" spans="1:81" ht="15" customHeight="1" x14ac:dyDescent="0.3">
      <c r="B15" s="1" t="s">
        <v>51</v>
      </c>
      <c r="C15" s="1"/>
      <c r="D15" s="1"/>
      <c r="E15" s="1"/>
      <c r="F15" s="1"/>
      <c r="G15" s="1"/>
      <c r="I15" s="1"/>
      <c r="J15" s="1"/>
      <c r="K15" s="1"/>
      <c r="L15" s="1"/>
      <c r="M15" s="1"/>
      <c r="N15" s="1"/>
      <c r="O15" s="1"/>
      <c r="P15" s="1"/>
      <c r="Q15" s="1"/>
      <c r="R15" s="1"/>
      <c r="S15" s="1"/>
      <c r="T15" s="52"/>
      <c r="U15" s="23"/>
      <c r="V15" s="1" t="s">
        <v>52</v>
      </c>
      <c r="W15" s="1"/>
      <c r="X15" s="1"/>
      <c r="Y15" s="1"/>
      <c r="Z15" s="1"/>
      <c r="AA15" s="1"/>
      <c r="AB15" s="1"/>
      <c r="AC15" s="1"/>
      <c r="AE15" s="1"/>
      <c r="AF15" s="1"/>
      <c r="AG15" s="1"/>
      <c r="AH15" s="1"/>
      <c r="AJ15" s="49"/>
      <c r="AK15" s="49"/>
      <c r="AW15" s="4" t="s">
        <v>91</v>
      </c>
      <c r="AX15" s="65" t="s">
        <v>94</v>
      </c>
      <c r="AY15" s="65"/>
    </row>
    <row r="16" spans="1:81" ht="14.55" customHeight="1" x14ac:dyDescent="0.3">
      <c r="F16" s="2" t="s">
        <v>155</v>
      </c>
      <c r="G16" s="231">
        <f>'Form 2B.1 - Design'!H57</f>
        <v>0</v>
      </c>
      <c r="H16" s="231"/>
      <c r="I16" s="231"/>
      <c r="J16" s="21" t="s">
        <v>39</v>
      </c>
      <c r="T16" s="27"/>
      <c r="Z16" s="2" t="s">
        <v>155</v>
      </c>
      <c r="AA16" s="180"/>
      <c r="AB16" s="180"/>
      <c r="AC16" s="180"/>
      <c r="AD16" s="21" t="s">
        <v>39</v>
      </c>
      <c r="AM16" s="15" t="s">
        <v>318</v>
      </c>
      <c r="AN16" s="87">
        <f>'Form 2B.1 - Design'!AM58</f>
        <v>0</v>
      </c>
      <c r="AW16" s="4" t="s">
        <v>103</v>
      </c>
      <c r="AX16" s="65" t="s">
        <v>308</v>
      </c>
      <c r="AY16" s="65"/>
    </row>
    <row r="17" spans="1:62" ht="14.55" customHeight="1" x14ac:dyDescent="0.3">
      <c r="F17" s="2" t="s">
        <v>197</v>
      </c>
      <c r="G17" s="224">
        <f>'Form 2B.1 - Design'!H58</f>
        <v>0</v>
      </c>
      <c r="H17" s="224"/>
      <c r="I17" s="224"/>
      <c r="J17" s="21" t="s">
        <v>39</v>
      </c>
      <c r="T17" s="27"/>
      <c r="Z17" s="2" t="s">
        <v>197</v>
      </c>
      <c r="AA17" s="182"/>
      <c r="AB17" s="182"/>
      <c r="AC17" s="182"/>
      <c r="AD17" s="21" t="s">
        <v>39</v>
      </c>
      <c r="AX17" s="65" t="s">
        <v>309</v>
      </c>
      <c r="AY17" s="65"/>
    </row>
    <row r="18" spans="1:62" ht="14.55" customHeight="1" x14ac:dyDescent="0.3">
      <c r="F18" s="2" t="s">
        <v>154</v>
      </c>
      <c r="G18" s="224">
        <f>'Form 2B.1 - Design'!H59</f>
        <v>0</v>
      </c>
      <c r="H18" s="224"/>
      <c r="I18" s="224"/>
      <c r="J18" s="21" t="s">
        <v>39</v>
      </c>
      <c r="T18" s="27"/>
      <c r="Z18" s="2" t="s">
        <v>154</v>
      </c>
      <c r="AA18" s="182"/>
      <c r="AB18" s="182"/>
      <c r="AC18" s="182"/>
      <c r="AD18" s="21" t="s">
        <v>39</v>
      </c>
      <c r="AV18" s="21"/>
      <c r="AW18" s="4" t="s">
        <v>104</v>
      </c>
      <c r="AX18" s="83" t="s">
        <v>310</v>
      </c>
      <c r="AY18" s="65"/>
      <c r="BA18" s="65"/>
      <c r="BB18" s="65"/>
      <c r="BC18" s="65"/>
      <c r="BD18" s="65"/>
      <c r="BE18" s="65"/>
      <c r="BF18" s="65"/>
      <c r="BG18" s="65"/>
    </row>
    <row r="19" spans="1:62" ht="14.55" customHeight="1" x14ac:dyDescent="0.3">
      <c r="F19" s="2" t="s">
        <v>171</v>
      </c>
      <c r="G19" s="222">
        <f>'Form 2B.1 - Design'!U57</f>
        <v>0</v>
      </c>
      <c r="H19" s="222"/>
      <c r="I19" s="222"/>
      <c r="J19" s="21" t="s">
        <v>39</v>
      </c>
      <c r="N19" s="2"/>
      <c r="T19" s="27"/>
      <c r="Z19" s="2" t="s">
        <v>171</v>
      </c>
      <c r="AA19" s="182"/>
      <c r="AB19" s="182"/>
      <c r="AC19" s="182"/>
      <c r="AD19" s="21" t="s">
        <v>39</v>
      </c>
      <c r="AH19" s="2"/>
      <c r="AX19" s="83" t="s">
        <v>256</v>
      </c>
      <c r="AZ19" s="65"/>
      <c r="BA19" s="65"/>
      <c r="BB19" s="65"/>
      <c r="BC19" s="65"/>
      <c r="BD19" s="65"/>
      <c r="BE19" s="65"/>
      <c r="BF19" s="65"/>
      <c r="BG19" s="65"/>
    </row>
    <row r="20" spans="1:62" ht="14.55" customHeight="1" x14ac:dyDescent="0.3">
      <c r="F20" s="2" t="s">
        <v>172</v>
      </c>
      <c r="G20" s="225">
        <f>'Form 2B.1 - Design'!U58</f>
        <v>0</v>
      </c>
      <c r="H20" s="225"/>
      <c r="I20" s="225"/>
      <c r="J20" s="225"/>
      <c r="K20" s="177" t="str">
        <f>'Form 2B.1 - Design'!Y58</f>
        <v>Units?</v>
      </c>
      <c r="L20" s="177"/>
      <c r="N20" s="2"/>
      <c r="T20" s="27"/>
      <c r="Z20" s="2" t="s">
        <v>172</v>
      </c>
      <c r="AA20" s="242"/>
      <c r="AB20" s="242"/>
      <c r="AC20" s="242"/>
      <c r="AD20" s="241"/>
      <c r="AE20" s="177" t="str">
        <f>K20</f>
        <v>Units?</v>
      </c>
      <c r="AF20" s="177"/>
      <c r="AH20" s="2"/>
      <c r="AW20" s="4" t="s">
        <v>102</v>
      </c>
      <c r="AX20" s="65" t="s">
        <v>95</v>
      </c>
      <c r="AZ20" s="65"/>
    </row>
    <row r="21" spans="1:62" ht="14.55" customHeight="1" x14ac:dyDescent="0.3">
      <c r="F21" s="2" t="s">
        <v>159</v>
      </c>
      <c r="G21" s="226">
        <f>'Form 2B.1 - Design'!U59</f>
        <v>0</v>
      </c>
      <c r="H21" s="226"/>
      <c r="I21" s="226"/>
      <c r="J21" s="226"/>
      <c r="K21" s="177" t="str">
        <f>'Form 2B.1 - Design'!Y59</f>
        <v>Units?</v>
      </c>
      <c r="L21" s="177"/>
      <c r="N21" s="2"/>
      <c r="T21" s="27"/>
      <c r="Z21" s="2" t="s">
        <v>159</v>
      </c>
      <c r="AA21" s="242"/>
      <c r="AB21" s="242"/>
      <c r="AC21" s="242"/>
      <c r="AD21" s="242"/>
      <c r="AE21" s="177" t="str">
        <f>K21</f>
        <v>Units?</v>
      </c>
      <c r="AF21" s="177"/>
      <c r="AH21" s="2"/>
      <c r="AW21" s="4" t="s">
        <v>105</v>
      </c>
      <c r="AX21" s="21" t="s">
        <v>409</v>
      </c>
    </row>
    <row r="22" spans="1:62" ht="4.95" customHeight="1" x14ac:dyDescent="0.3">
      <c r="E22" s="2"/>
      <c r="N22" s="2"/>
      <c r="T22" s="27"/>
      <c r="Y22" s="2"/>
      <c r="AH22" s="2"/>
      <c r="AY22" s="65"/>
    </row>
    <row r="23" spans="1:62" ht="14.55" customHeight="1" x14ac:dyDescent="0.3">
      <c r="F23" s="2" t="s">
        <v>173</v>
      </c>
      <c r="G23" s="163">
        <f>'Form 2B.1 - Design'!H61</f>
        <v>0</v>
      </c>
      <c r="H23" s="54" t="s">
        <v>175</v>
      </c>
      <c r="K23" s="163">
        <f>'Form 2B.1 - Design'!L61</f>
        <v>0</v>
      </c>
      <c r="L23" s="21" t="s">
        <v>118</v>
      </c>
      <c r="T23" s="27"/>
      <c r="Z23" s="2" t="s">
        <v>173</v>
      </c>
      <c r="AA23" s="162"/>
      <c r="AB23" s="54" t="s">
        <v>175</v>
      </c>
      <c r="AE23" s="162"/>
      <c r="AF23" s="21" t="s">
        <v>118</v>
      </c>
      <c r="AM23" s="87">
        <f>IF(ISBLANK(AA23),0,1)</f>
        <v>0</v>
      </c>
      <c r="AN23" s="87">
        <f>IF(AND(ISBLANK(AA23),ISBLANK(AE23)),1,2)</f>
        <v>1</v>
      </c>
      <c r="AV23" s="16">
        <f>AV12+1</f>
        <v>3</v>
      </c>
      <c r="AW23" s="65" t="s">
        <v>92</v>
      </c>
      <c r="AY23" s="83"/>
      <c r="AZ23" s="83"/>
      <c r="BA23" s="83"/>
      <c r="BB23" s="83"/>
      <c r="BC23" s="83"/>
      <c r="BD23" s="83"/>
      <c r="BE23" s="83"/>
      <c r="BF23" s="83"/>
      <c r="BG23" s="83"/>
    </row>
    <row r="24" spans="1:62" ht="4.95" customHeight="1" x14ac:dyDescent="0.3">
      <c r="T24" s="27"/>
      <c r="AX24" s="99"/>
      <c r="AY24" s="83"/>
      <c r="AZ24" s="83"/>
      <c r="BA24" s="83"/>
      <c r="BB24" s="83"/>
      <c r="BC24" s="83"/>
      <c r="BD24" s="83"/>
      <c r="BE24" s="83"/>
      <c r="BF24" s="83"/>
      <c r="BG24" s="83"/>
    </row>
    <row r="25" spans="1:62" ht="14.55" customHeight="1" x14ac:dyDescent="0.3">
      <c r="F25" s="2" t="s">
        <v>160</v>
      </c>
      <c r="G25" s="225">
        <f>'Form 2B.1 - Design'!U61</f>
        <v>0</v>
      </c>
      <c r="H25" s="225"/>
      <c r="I25" s="225"/>
      <c r="J25" s="225"/>
      <c r="K25" s="177" t="str">
        <f>'Form 2B.1 - Design'!Y61</f>
        <v>Units?</v>
      </c>
      <c r="L25" s="177"/>
      <c r="T25" s="27"/>
      <c r="Z25" s="2" t="s">
        <v>160</v>
      </c>
      <c r="AA25" s="241"/>
      <c r="AB25" s="241"/>
      <c r="AC25" s="241"/>
      <c r="AD25" s="241"/>
      <c r="AE25" s="177" t="str">
        <f>K25</f>
        <v>Units?</v>
      </c>
      <c r="AF25" s="177"/>
      <c r="AW25" s="4" t="s">
        <v>90</v>
      </c>
      <c r="AX25" s="65" t="s">
        <v>198</v>
      </c>
      <c r="AY25" s="83"/>
      <c r="AZ25" s="83"/>
      <c r="BA25" s="83"/>
      <c r="BB25" s="83"/>
      <c r="BC25" s="83"/>
      <c r="BD25" s="83"/>
      <c r="BE25" s="83"/>
      <c r="BF25" s="83"/>
      <c r="BG25" s="83"/>
    </row>
    <row r="26" spans="1:62" ht="4.95" customHeight="1" x14ac:dyDescent="0.3">
      <c r="T26" s="27"/>
      <c r="AX26" s="48"/>
      <c r="AY26" s="48"/>
      <c r="AZ26" s="48"/>
      <c r="BA26" s="48"/>
      <c r="BB26" s="48"/>
      <c r="BC26" s="48"/>
      <c r="BD26" s="48"/>
      <c r="BE26" s="48"/>
      <c r="BF26" s="48"/>
      <c r="BG26" s="48"/>
    </row>
    <row r="27" spans="1:62" ht="14.55" customHeight="1" x14ac:dyDescent="0.3">
      <c r="D27" s="2" t="s">
        <v>164</v>
      </c>
      <c r="E27" s="163">
        <f>'Form 2B.1 - Design'!AF59</f>
        <v>0</v>
      </c>
      <c r="F27" s="54" t="s">
        <v>175</v>
      </c>
      <c r="H27" s="163">
        <f>'Form 2B.1 - Design'!AI59</f>
        <v>0</v>
      </c>
      <c r="I27" s="21" t="s">
        <v>118</v>
      </c>
      <c r="N27" s="2" t="s">
        <v>176</v>
      </c>
      <c r="O27" s="163">
        <f>'Form 2B.1 - Design'!AF61</f>
        <v>0</v>
      </c>
      <c r="P27" s="54" t="s">
        <v>175</v>
      </c>
      <c r="R27" s="163">
        <f>'Form 2B.1 - Design'!AI61</f>
        <v>0</v>
      </c>
      <c r="S27" s="21" t="s">
        <v>118</v>
      </c>
      <c r="T27" s="27"/>
      <c r="X27" s="2" t="s">
        <v>164</v>
      </c>
      <c r="Y27" s="162"/>
      <c r="Z27" s="54" t="s">
        <v>175</v>
      </c>
      <c r="AB27" s="162"/>
      <c r="AC27" s="21" t="s">
        <v>118</v>
      </c>
      <c r="AF27" s="2" t="s">
        <v>176</v>
      </c>
      <c r="AG27" s="162"/>
      <c r="AH27" s="54" t="s">
        <v>175</v>
      </c>
      <c r="AJ27" s="162"/>
      <c r="AK27" s="21" t="s">
        <v>118</v>
      </c>
      <c r="AM27" s="87">
        <f>IF(AND(ISBLANK(Y27),ISBLANK(AB27)),1,2)</f>
        <v>1</v>
      </c>
      <c r="AN27" s="87">
        <f>IF(AND(ISBLANK(AG27),ISBLANK(AJ27)),1,2)</f>
        <v>1</v>
      </c>
      <c r="AW27" s="4" t="s">
        <v>91</v>
      </c>
      <c r="AX27" s="65" t="s">
        <v>99</v>
      </c>
      <c r="AZ27" s="48"/>
      <c r="BA27" s="48"/>
      <c r="BB27" s="48"/>
      <c r="BC27" s="48"/>
      <c r="BD27" s="48"/>
      <c r="BE27" s="48"/>
      <c r="BF27" s="48"/>
      <c r="BG27" s="48"/>
    </row>
    <row r="28" spans="1:62" ht="4.95" customHeight="1" x14ac:dyDescent="0.3">
      <c r="AX28" s="99"/>
      <c r="AY28" s="65"/>
    </row>
    <row r="29" spans="1:62" ht="15" customHeight="1" x14ac:dyDescent="0.3">
      <c r="A29" s="227" t="s">
        <v>385</v>
      </c>
      <c r="B29" s="227"/>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89"/>
      <c r="AN29" s="90"/>
      <c r="AX29" s="99" t="s">
        <v>106</v>
      </c>
      <c r="AY29" s="65" t="s">
        <v>243</v>
      </c>
      <c r="AZ29" s="65"/>
    </row>
    <row r="30" spans="1:62" ht="14.55" customHeight="1" x14ac:dyDescent="0.3">
      <c r="B30" s="1" t="s">
        <v>51</v>
      </c>
      <c r="C30" s="1"/>
      <c r="D30" s="1"/>
      <c r="E30" s="1"/>
      <c r="F30" s="1"/>
      <c r="G30" s="1"/>
      <c r="I30" s="1"/>
      <c r="J30" s="1"/>
      <c r="K30" s="1"/>
      <c r="L30" s="1"/>
      <c r="M30" s="1"/>
      <c r="N30" s="1"/>
      <c r="O30" s="1"/>
      <c r="P30" s="1"/>
      <c r="Q30" s="1"/>
      <c r="R30" s="1"/>
      <c r="S30" s="1"/>
      <c r="T30" s="1"/>
      <c r="U30" s="23"/>
      <c r="V30" s="1" t="s">
        <v>52</v>
      </c>
      <c r="X30" s="1"/>
      <c r="Y30" s="1"/>
      <c r="Z30" s="1"/>
      <c r="AA30" s="1"/>
      <c r="AB30" s="1"/>
      <c r="AC30" s="1"/>
      <c r="AD30" s="1"/>
      <c r="AE30" s="1"/>
      <c r="AF30" s="1"/>
      <c r="AG30" s="1"/>
      <c r="AH30" s="1"/>
      <c r="AI30" s="1"/>
      <c r="AJ30" s="49"/>
      <c r="AK30" s="49"/>
      <c r="AX30" s="99" t="s">
        <v>106</v>
      </c>
      <c r="AY30" s="65" t="s">
        <v>124</v>
      </c>
      <c r="AZ30" s="65"/>
    </row>
    <row r="31" spans="1:62" ht="14.55" customHeight="1" x14ac:dyDescent="0.3">
      <c r="C31" s="2"/>
      <c r="D31" s="2" t="s">
        <v>182</v>
      </c>
      <c r="E31" s="244">
        <f>'Form 2B.1 - Design'!F63</f>
        <v>0</v>
      </c>
      <c r="F31" s="244"/>
      <c r="G31" s="244"/>
      <c r="H31" s="244"/>
      <c r="M31" s="2" t="s">
        <v>183</v>
      </c>
      <c r="N31" s="199">
        <f>'Form 2B.1 - Design'!P63</f>
        <v>0</v>
      </c>
      <c r="O31" s="199"/>
      <c r="P31" s="199"/>
      <c r="Q31" s="199"/>
      <c r="U31" s="23"/>
      <c r="X31" s="2" t="s">
        <v>182</v>
      </c>
      <c r="Y31" s="201"/>
      <c r="Z31" s="201"/>
      <c r="AA31" s="201"/>
      <c r="AB31" s="201"/>
      <c r="AC31" s="1"/>
      <c r="AG31" s="2" t="s">
        <v>30</v>
      </c>
      <c r="AH31" s="201"/>
      <c r="AI31" s="201"/>
      <c r="AJ31" s="201"/>
      <c r="AK31" s="201"/>
      <c r="AX31" s="99" t="s">
        <v>106</v>
      </c>
      <c r="AY31" s="21" t="s">
        <v>190</v>
      </c>
      <c r="AZ31" s="65"/>
      <c r="BA31" s="65"/>
      <c r="BB31" s="65"/>
      <c r="BC31" s="65"/>
      <c r="BD31" s="65"/>
      <c r="BE31" s="65"/>
      <c r="BF31" s="65"/>
      <c r="BG31" s="65"/>
      <c r="BH31" s="102"/>
      <c r="BI31" s="102"/>
      <c r="BJ31" s="102"/>
    </row>
    <row r="32" spans="1:62" ht="14.55" customHeight="1" x14ac:dyDescent="0.3">
      <c r="C32" s="2"/>
      <c r="D32" s="2" t="s">
        <v>181</v>
      </c>
      <c r="E32" s="230">
        <f>'Form 2B.1 - Design'!F64</f>
        <v>0</v>
      </c>
      <c r="F32" s="230"/>
      <c r="G32" s="230"/>
      <c r="H32" s="8" t="s">
        <v>39</v>
      </c>
      <c r="U32" s="23"/>
      <c r="X32" s="2" t="s">
        <v>181</v>
      </c>
      <c r="Y32" s="182"/>
      <c r="Z32" s="182"/>
      <c r="AA32" s="182"/>
      <c r="AB32" s="21" t="s">
        <v>39</v>
      </c>
      <c r="AM32" s="87">
        <f>IF(ISBLANK(Y32),1,2)</f>
        <v>1</v>
      </c>
      <c r="AV32" s="21"/>
      <c r="AX32" s="99" t="s">
        <v>106</v>
      </c>
      <c r="AY32" s="21" t="str">
        <f>Tables!F24</f>
        <v xml:space="preserve"> O&amp;M Plan</v>
      </c>
      <c r="BA32" s="65"/>
      <c r="BB32" s="65"/>
      <c r="BC32" s="65"/>
      <c r="BD32" s="65"/>
      <c r="BE32" s="65"/>
      <c r="BF32" s="65"/>
      <c r="BG32" s="65"/>
      <c r="BH32" s="102"/>
      <c r="BI32" s="102"/>
      <c r="BJ32" s="102"/>
    </row>
    <row r="33" spans="2:59" ht="14.55" customHeight="1" x14ac:dyDescent="0.3">
      <c r="C33" s="2"/>
      <c r="D33" s="2" t="s">
        <v>180</v>
      </c>
      <c r="E33" s="230">
        <f>'Form 2B.1 - Design'!F65</f>
        <v>0</v>
      </c>
      <c r="F33" s="230"/>
      <c r="G33" s="230"/>
      <c r="H33" s="8" t="s">
        <v>39</v>
      </c>
      <c r="M33" s="2" t="s">
        <v>184</v>
      </c>
      <c r="N33" s="236">
        <f>'Form 2B.1 - Design'!P65</f>
        <v>0</v>
      </c>
      <c r="O33" s="236"/>
      <c r="P33" s="236"/>
      <c r="Q33" s="21" t="s">
        <v>39</v>
      </c>
      <c r="U33" s="23"/>
      <c r="X33" s="2" t="s">
        <v>180</v>
      </c>
      <c r="Y33" s="182"/>
      <c r="Z33" s="182"/>
      <c r="AA33" s="182"/>
      <c r="AB33" s="21" t="s">
        <v>39</v>
      </c>
      <c r="AG33" s="2" t="s">
        <v>40</v>
      </c>
      <c r="AH33" s="180"/>
      <c r="AI33" s="180"/>
      <c r="AJ33" s="180"/>
      <c r="AK33" s="21" t="s">
        <v>39</v>
      </c>
      <c r="AM33" s="87">
        <f>IF(AND(ISBLANK(Y33),ISBLANK(AH33)),1,2)</f>
        <v>1</v>
      </c>
      <c r="AV33" s="16">
        <v>4</v>
      </c>
      <c r="AW33" s="65" t="s">
        <v>87</v>
      </c>
      <c r="BA33" s="65"/>
      <c r="BB33" s="65"/>
      <c r="BC33" s="65"/>
      <c r="BD33" s="65"/>
      <c r="BE33" s="65"/>
      <c r="BF33" s="65"/>
      <c r="BG33" s="65"/>
    </row>
    <row r="34" spans="2:59" ht="14.55" customHeight="1" x14ac:dyDescent="0.3">
      <c r="C34" s="2"/>
      <c r="D34" s="2" t="s">
        <v>179</v>
      </c>
      <c r="E34" s="230">
        <f>'Form 2B.1 - Design'!F67</f>
        <v>0</v>
      </c>
      <c r="F34" s="230"/>
      <c r="G34" s="230"/>
      <c r="H34" s="8" t="s">
        <v>39</v>
      </c>
      <c r="M34" s="2" t="s">
        <v>185</v>
      </c>
      <c r="N34" s="230">
        <f>'Form 2B.1 - Design'!P67</f>
        <v>0</v>
      </c>
      <c r="O34" s="230"/>
      <c r="P34" s="230"/>
      <c r="Q34" s="21" t="s">
        <v>39</v>
      </c>
      <c r="U34" s="23"/>
      <c r="X34" s="2" t="s">
        <v>179</v>
      </c>
      <c r="Y34" s="182"/>
      <c r="Z34" s="182"/>
      <c r="AA34" s="182"/>
      <c r="AB34" s="21" t="s">
        <v>39</v>
      </c>
      <c r="AG34" s="2" t="s">
        <v>41</v>
      </c>
      <c r="AH34" s="182"/>
      <c r="AI34" s="182"/>
      <c r="AJ34" s="182"/>
      <c r="AK34" s="21" t="s">
        <v>39</v>
      </c>
      <c r="AW34" s="4" t="s">
        <v>90</v>
      </c>
      <c r="AX34" s="21" t="s">
        <v>351</v>
      </c>
      <c r="BA34" s="65"/>
      <c r="BB34" s="65"/>
      <c r="BC34" s="65"/>
      <c r="BD34" s="65"/>
      <c r="BE34" s="65"/>
      <c r="BF34" s="65"/>
      <c r="BG34" s="65"/>
    </row>
    <row r="35" spans="2:59" ht="4.95" customHeight="1" x14ac:dyDescent="0.3">
      <c r="C35" s="2"/>
      <c r="D35" s="2"/>
      <c r="E35" s="2"/>
      <c r="F35" s="2"/>
      <c r="G35" s="2"/>
      <c r="H35" s="11"/>
      <c r="I35" s="8"/>
      <c r="M35" s="2"/>
      <c r="N35" s="12"/>
      <c r="O35" s="12"/>
      <c r="P35" s="12"/>
      <c r="U35" s="23"/>
      <c r="Z35" s="2"/>
      <c r="AA35" s="24"/>
      <c r="AB35" s="24"/>
      <c r="AC35" s="24"/>
      <c r="AH35" s="2"/>
      <c r="AI35" s="25"/>
      <c r="AJ35" s="25"/>
      <c r="AK35" s="25"/>
      <c r="AZ35" s="65"/>
      <c r="BA35" s="65"/>
      <c r="BB35" s="65"/>
      <c r="BC35" s="65"/>
      <c r="BD35" s="65"/>
      <c r="BE35" s="65"/>
      <c r="BF35" s="65"/>
      <c r="BG35" s="65"/>
    </row>
    <row r="36" spans="2:59" ht="14.55" customHeight="1" x14ac:dyDescent="0.3">
      <c r="C36" s="2"/>
      <c r="D36" s="2" t="s">
        <v>163</v>
      </c>
      <c r="E36" s="163">
        <f>'Form 2B.1 - Design'!AF65</f>
        <v>0</v>
      </c>
      <c r="F36" s="21" t="s">
        <v>117</v>
      </c>
      <c r="I36" s="163">
        <f>'Form 2B.1 - Design'!AI65</f>
        <v>0</v>
      </c>
      <c r="J36" s="21" t="s">
        <v>118</v>
      </c>
      <c r="U36" s="23"/>
      <c r="X36" s="2" t="s">
        <v>163</v>
      </c>
      <c r="Y36" s="162"/>
      <c r="Z36" s="21" t="s">
        <v>117</v>
      </c>
      <c r="AC36" s="162"/>
      <c r="AD36" s="21" t="s">
        <v>118</v>
      </c>
      <c r="AM36" s="87">
        <f>IF(AND(ISBLANK(Y36),ISBLANK(AC36)),1,2)</f>
        <v>1</v>
      </c>
      <c r="AW36" s="4" t="s">
        <v>91</v>
      </c>
      <c r="AX36" s="65" t="s">
        <v>215</v>
      </c>
      <c r="AZ36" s="65"/>
      <c r="BA36" s="65"/>
      <c r="BB36" s="65"/>
      <c r="BC36" s="65"/>
      <c r="BD36" s="65"/>
      <c r="BE36" s="65"/>
      <c r="BF36" s="65"/>
      <c r="BG36" s="65"/>
    </row>
    <row r="37" spans="2:59" ht="4.95" customHeight="1" x14ac:dyDescent="0.3">
      <c r="B37" s="2"/>
      <c r="C37" s="2"/>
      <c r="D37" s="2"/>
      <c r="E37" s="2"/>
      <c r="F37" s="2"/>
      <c r="G37" s="2"/>
      <c r="U37" s="23"/>
      <c r="Z37" s="2"/>
      <c r="AZ37" s="103"/>
      <c r="BA37" s="103"/>
      <c r="BB37" s="103"/>
      <c r="BC37" s="103"/>
      <c r="BD37" s="103"/>
      <c r="BE37" s="103"/>
      <c r="BF37" s="103"/>
      <c r="BG37" s="103"/>
    </row>
    <row r="38" spans="2:59" ht="14.55" customHeight="1" x14ac:dyDescent="0.3">
      <c r="E38" s="13" t="s">
        <v>31</v>
      </c>
      <c r="H38" s="4"/>
      <c r="J38" s="4" t="s">
        <v>517</v>
      </c>
      <c r="K38" s="4"/>
      <c r="L38" s="4"/>
      <c r="N38" s="4" t="s">
        <v>518</v>
      </c>
      <c r="O38" s="4"/>
      <c r="R38" s="4" t="s">
        <v>37</v>
      </c>
      <c r="S38" s="4"/>
      <c r="U38" s="23"/>
      <c r="W38" s="13" t="s">
        <v>31</v>
      </c>
      <c r="X38" s="4"/>
      <c r="Y38" s="4"/>
      <c r="Z38" s="4"/>
      <c r="AB38" s="4" t="s">
        <v>517</v>
      </c>
      <c r="AC38" s="4"/>
      <c r="AD38" s="4"/>
      <c r="AF38" s="4" t="s">
        <v>518</v>
      </c>
      <c r="AG38" s="4"/>
      <c r="AJ38" s="4" t="s">
        <v>37</v>
      </c>
      <c r="AK38" s="4"/>
      <c r="AW38" s="4" t="s">
        <v>103</v>
      </c>
      <c r="AX38" s="65" t="s">
        <v>312</v>
      </c>
      <c r="AZ38" s="65"/>
      <c r="BA38" s="65"/>
      <c r="BB38" s="65"/>
      <c r="BC38" s="65"/>
      <c r="BD38" s="65"/>
      <c r="BE38" s="65"/>
      <c r="BF38" s="65"/>
      <c r="BG38" s="65"/>
    </row>
    <row r="39" spans="2:59" ht="14.55" customHeight="1" x14ac:dyDescent="0.3">
      <c r="C39" s="2"/>
      <c r="D39" s="2" t="s">
        <v>178</v>
      </c>
      <c r="E39" s="199">
        <f>'Form 2B.1 - Design'!F69</f>
        <v>0</v>
      </c>
      <c r="F39" s="199"/>
      <c r="G39" s="199"/>
      <c r="I39" s="236">
        <f>'Form 2B.1 - Design'!K69</f>
        <v>0</v>
      </c>
      <c r="J39" s="236"/>
      <c r="K39" s="236"/>
      <c r="L39" s="21" t="s">
        <v>38</v>
      </c>
      <c r="M39" s="236">
        <f>'Form 2B.1 - Design'!P69</f>
        <v>0</v>
      </c>
      <c r="N39" s="236"/>
      <c r="O39" s="236"/>
      <c r="P39" s="21" t="s">
        <v>38</v>
      </c>
      <c r="Q39" s="236">
        <f>'Form 2B.1 - Design'!U69</f>
        <v>0</v>
      </c>
      <c r="R39" s="236"/>
      <c r="S39" s="236"/>
      <c r="T39" s="21" t="s">
        <v>39</v>
      </c>
      <c r="U39" s="23"/>
      <c r="W39" s="201"/>
      <c r="X39" s="201"/>
      <c r="Y39" s="201"/>
      <c r="AA39" s="180"/>
      <c r="AB39" s="180"/>
      <c r="AC39" s="180"/>
      <c r="AD39" s="21" t="s">
        <v>38</v>
      </c>
      <c r="AE39" s="180"/>
      <c r="AF39" s="180"/>
      <c r="AG39" s="180"/>
      <c r="AH39" s="21" t="s">
        <v>38</v>
      </c>
      <c r="AI39" s="180"/>
      <c r="AJ39" s="180"/>
      <c r="AK39" s="180"/>
      <c r="AL39" s="21" t="s">
        <v>39</v>
      </c>
      <c r="AM39" s="87">
        <f>IF(ISBLANK(W39),1,2)</f>
        <v>1</v>
      </c>
      <c r="AW39" s="4" t="s">
        <v>104</v>
      </c>
      <c r="AX39" s="65" t="s">
        <v>96</v>
      </c>
      <c r="AZ39" s="102"/>
      <c r="BA39" s="102"/>
      <c r="BB39" s="102"/>
      <c r="BC39" s="102"/>
      <c r="BD39" s="102"/>
      <c r="BE39" s="102"/>
      <c r="BF39" s="102"/>
      <c r="BG39" s="102"/>
    </row>
    <row r="40" spans="2:59" ht="14.55" customHeight="1" x14ac:dyDescent="0.3">
      <c r="C40" s="2"/>
      <c r="D40" s="2" t="s">
        <v>177</v>
      </c>
      <c r="E40" s="243">
        <f>'Form 2B.1 - Design'!F71</f>
        <v>0</v>
      </c>
      <c r="F40" s="243"/>
      <c r="G40" s="243"/>
      <c r="I40" s="230">
        <f>'Form 2B.1 - Design'!K71</f>
        <v>0</v>
      </c>
      <c r="J40" s="230"/>
      <c r="K40" s="230"/>
      <c r="L40" s="21" t="str">
        <f>'Form 2B.1 - Design'!N71</f>
        <v>in</v>
      </c>
      <c r="M40" s="230">
        <f>'Form 2B.1 - Design'!P71</f>
        <v>0</v>
      </c>
      <c r="N40" s="230"/>
      <c r="O40" s="230"/>
      <c r="P40" s="21" t="s">
        <v>38</v>
      </c>
      <c r="Q40" s="230">
        <f>'Form 2B.1 - Design'!U71</f>
        <v>0</v>
      </c>
      <c r="R40" s="230"/>
      <c r="S40" s="230"/>
      <c r="T40" s="21" t="s">
        <v>39</v>
      </c>
      <c r="U40" s="23"/>
      <c r="W40" s="202"/>
      <c r="X40" s="202"/>
      <c r="Y40" s="202"/>
      <c r="AA40" s="182"/>
      <c r="AB40" s="182"/>
      <c r="AC40" s="182"/>
      <c r="AD40" s="21" t="str">
        <f>IF(W40="V-notch","deg","in")</f>
        <v>in</v>
      </c>
      <c r="AE40" s="182"/>
      <c r="AF40" s="182"/>
      <c r="AG40" s="182"/>
      <c r="AH40" s="21" t="s">
        <v>38</v>
      </c>
      <c r="AI40" s="182"/>
      <c r="AJ40" s="182"/>
      <c r="AK40" s="182"/>
      <c r="AL40" s="21" t="s">
        <v>39</v>
      </c>
      <c r="AM40" s="87">
        <f>IF(ISBLANK(W40),1,2)</f>
        <v>1</v>
      </c>
      <c r="AW40" s="4" t="s">
        <v>102</v>
      </c>
      <c r="AX40" s="65" t="s">
        <v>97</v>
      </c>
      <c r="AZ40" s="102"/>
      <c r="BA40" s="102"/>
      <c r="BB40" s="102"/>
      <c r="BC40" s="102"/>
      <c r="BD40" s="102"/>
      <c r="BE40" s="102"/>
      <c r="BF40" s="102"/>
      <c r="BG40" s="102"/>
    </row>
    <row r="41" spans="2:59" ht="4.95" customHeight="1" x14ac:dyDescent="0.3">
      <c r="C41" s="2"/>
      <c r="D41" s="2"/>
      <c r="E41" s="2"/>
      <c r="F41" s="2"/>
      <c r="G41" s="2"/>
      <c r="H41" s="8"/>
      <c r="J41" s="12"/>
      <c r="K41" s="12"/>
      <c r="L41" s="12"/>
      <c r="N41" s="12"/>
      <c r="O41" s="12"/>
      <c r="P41" s="12"/>
      <c r="R41" s="12"/>
      <c r="S41" s="12"/>
      <c r="T41" s="12"/>
      <c r="U41" s="23"/>
      <c r="AA41" s="25"/>
      <c r="AB41" s="25"/>
      <c r="AC41" s="25"/>
      <c r="AE41" s="25"/>
      <c r="AF41" s="25"/>
      <c r="AG41" s="25"/>
      <c r="AI41" s="25"/>
      <c r="AJ41" s="25"/>
      <c r="AK41" s="25"/>
    </row>
    <row r="42" spans="2:59" ht="14.55" customHeight="1" x14ac:dyDescent="0.3">
      <c r="D42" s="2" t="s">
        <v>306</v>
      </c>
      <c r="E42" s="163">
        <f>'Form 2B.1 - Design'!AF71</f>
        <v>0</v>
      </c>
      <c r="F42" s="21" t="s">
        <v>117</v>
      </c>
      <c r="I42" s="163">
        <f>'Form 2B.1 - Design'!AI71</f>
        <v>0</v>
      </c>
      <c r="J42" s="21" t="s">
        <v>118</v>
      </c>
      <c r="U42" s="23"/>
      <c r="X42" s="2" t="s">
        <v>306</v>
      </c>
      <c r="Y42" s="162"/>
      <c r="Z42" s="21" t="s">
        <v>117</v>
      </c>
      <c r="AC42" s="162"/>
      <c r="AD42" s="21" t="s">
        <v>118</v>
      </c>
      <c r="AM42" s="87">
        <f>IF(AND(ISBLANK(Y42),ISBLANK(AC42)),1,2)</f>
        <v>1</v>
      </c>
      <c r="AN42" s="85">
        <f>IF(ISBLANK(AC42),1,2)</f>
        <v>1</v>
      </c>
      <c r="AW42" s="4" t="s">
        <v>105</v>
      </c>
      <c r="AX42" s="65" t="s">
        <v>216</v>
      </c>
    </row>
    <row r="43" spans="2:59" ht="4.95" customHeight="1" x14ac:dyDescent="0.3">
      <c r="D43" s="2"/>
      <c r="E43" s="2"/>
      <c r="F43" s="2"/>
      <c r="G43" s="2"/>
      <c r="U43" s="23"/>
      <c r="W43" s="2"/>
      <c r="X43" s="2"/>
      <c r="Y43" s="2"/>
      <c r="AY43" s="65"/>
    </row>
    <row r="44" spans="2:59" ht="14.55" customHeight="1" x14ac:dyDescent="0.3">
      <c r="D44" s="2" t="str">
        <f>'Form 2B.1 - Design'!C73</f>
        <v xml:space="preserve">Select: </v>
      </c>
      <c r="E44" s="244">
        <f>'Form 2B.1 - Design'!F73</f>
        <v>0</v>
      </c>
      <c r="F44" s="244"/>
      <c r="G44" s="244"/>
      <c r="I44" s="236">
        <f>'Form 2B.1 - Design'!K73</f>
        <v>0</v>
      </c>
      <c r="J44" s="236"/>
      <c r="K44" s="236"/>
      <c r="L44" s="21" t="str">
        <f>'Form 2B.1 - Design'!N73</f>
        <v>in</v>
      </c>
      <c r="M44" s="236">
        <f>'Form 2B.1 - Design'!P73</f>
        <v>0</v>
      </c>
      <c r="N44" s="236"/>
      <c r="O44" s="236"/>
      <c r="P44" s="21" t="s">
        <v>38</v>
      </c>
      <c r="Q44" s="236">
        <f>'Form 2B.1 - Design'!U73</f>
        <v>0</v>
      </c>
      <c r="R44" s="236"/>
      <c r="S44" s="236"/>
      <c r="T44" s="21" t="s">
        <v>39</v>
      </c>
      <c r="U44" s="23"/>
      <c r="W44" s="201"/>
      <c r="X44" s="201"/>
      <c r="Y44" s="201"/>
      <c r="AA44" s="180"/>
      <c r="AB44" s="180"/>
      <c r="AC44" s="180"/>
      <c r="AD44" s="21" t="str">
        <f>IF(W44="V-notch","deg","in")</f>
        <v>in</v>
      </c>
      <c r="AE44" s="180"/>
      <c r="AF44" s="180"/>
      <c r="AG44" s="180"/>
      <c r="AH44" s="21" t="s">
        <v>38</v>
      </c>
      <c r="AI44" s="180"/>
      <c r="AJ44" s="180"/>
      <c r="AK44" s="180"/>
      <c r="AL44" s="21" t="s">
        <v>39</v>
      </c>
      <c r="AM44" s="87">
        <f t="shared" ref="AM44:AM50" si="0">IF(ISBLANK(W44),1,2)</f>
        <v>1</v>
      </c>
      <c r="AV44" s="21"/>
      <c r="AW44" s="4" t="s">
        <v>311</v>
      </c>
      <c r="AX44" s="65" t="s">
        <v>217</v>
      </c>
    </row>
    <row r="45" spans="2:59" ht="14.55" customHeight="1" x14ac:dyDescent="0.3">
      <c r="D45" s="2" t="str">
        <f>'Form 2B.1 - Design'!C75</f>
        <v xml:space="preserve">Select: </v>
      </c>
      <c r="E45" s="237">
        <f>'Form 2B.1 - Design'!F75</f>
        <v>0</v>
      </c>
      <c r="F45" s="237"/>
      <c r="G45" s="237"/>
      <c r="I45" s="230">
        <f>'Form 2B.1 - Design'!K75</f>
        <v>0</v>
      </c>
      <c r="J45" s="230"/>
      <c r="K45" s="230"/>
      <c r="L45" s="21" t="str">
        <f>'Form 2B.1 - Design'!N75</f>
        <v>in</v>
      </c>
      <c r="M45" s="230">
        <f>'Form 2B.1 - Design'!P75</f>
        <v>0</v>
      </c>
      <c r="N45" s="230"/>
      <c r="O45" s="230"/>
      <c r="P45" s="21" t="s">
        <v>38</v>
      </c>
      <c r="Q45" s="230">
        <f>'Form 2B.1 - Design'!U75</f>
        <v>0</v>
      </c>
      <c r="R45" s="230"/>
      <c r="S45" s="230"/>
      <c r="T45" s="21" t="s">
        <v>39</v>
      </c>
      <c r="U45" s="23"/>
      <c r="W45" s="201"/>
      <c r="X45" s="201"/>
      <c r="Y45" s="201"/>
      <c r="AA45" s="182"/>
      <c r="AB45" s="182"/>
      <c r="AC45" s="182"/>
      <c r="AD45" s="21" t="str">
        <f t="shared" ref="AD45:AD49" si="1">IF(W45="V-notch","deg","in")</f>
        <v>in</v>
      </c>
      <c r="AE45" s="182"/>
      <c r="AF45" s="182"/>
      <c r="AG45" s="182"/>
      <c r="AH45" s="21" t="s">
        <v>38</v>
      </c>
      <c r="AI45" s="182"/>
      <c r="AJ45" s="182"/>
      <c r="AK45" s="182"/>
      <c r="AL45" s="21" t="s">
        <v>39</v>
      </c>
      <c r="AM45" s="87">
        <f t="shared" si="0"/>
        <v>1</v>
      </c>
      <c r="AV45" s="16">
        <v>5</v>
      </c>
      <c r="AW45" s="65" t="str">
        <f>"Form 3B – Retention Pond As-built Certification Form shall be approved by the "&amp;Tables!F23&amp;" prior to:"</f>
        <v>Form 3B – Retention Pond As-built Certification Form shall be approved by the County prior to:</v>
      </c>
      <c r="AZ45" s="20"/>
      <c r="BA45" s="20"/>
      <c r="BB45" s="20"/>
      <c r="BC45" s="20"/>
      <c r="BD45" s="20"/>
      <c r="BE45" s="20"/>
      <c r="BF45" s="20"/>
      <c r="BG45" s="20"/>
    </row>
    <row r="46" spans="2:59" ht="14.55" customHeight="1" x14ac:dyDescent="0.3">
      <c r="D46" s="2" t="str">
        <f>'Form 2B.1 - Design'!C76</f>
        <v xml:space="preserve">Select: </v>
      </c>
      <c r="E46" s="237">
        <f>'Form 2B.1 - Design'!F76</f>
        <v>0</v>
      </c>
      <c r="F46" s="237"/>
      <c r="G46" s="237"/>
      <c r="I46" s="230">
        <f>'Form 2B.1 - Design'!K76</f>
        <v>0</v>
      </c>
      <c r="J46" s="230"/>
      <c r="K46" s="230"/>
      <c r="L46" s="21" t="str">
        <f>'Form 2B.1 - Design'!N76</f>
        <v>in</v>
      </c>
      <c r="M46" s="230">
        <f>'Form 2B.1 - Design'!P76</f>
        <v>0</v>
      </c>
      <c r="N46" s="230"/>
      <c r="O46" s="230"/>
      <c r="P46" s="21" t="s">
        <v>38</v>
      </c>
      <c r="Q46" s="230">
        <f>'Form 2B.1 - Design'!U76</f>
        <v>0</v>
      </c>
      <c r="R46" s="230"/>
      <c r="S46" s="230"/>
      <c r="T46" s="21" t="s">
        <v>39</v>
      </c>
      <c r="U46" s="23"/>
      <c r="W46" s="201"/>
      <c r="X46" s="201"/>
      <c r="Y46" s="201"/>
      <c r="AA46" s="182"/>
      <c r="AB46" s="182"/>
      <c r="AC46" s="182"/>
      <c r="AD46" s="21" t="str">
        <f t="shared" si="1"/>
        <v>in</v>
      </c>
      <c r="AE46" s="182"/>
      <c r="AF46" s="182"/>
      <c r="AG46" s="182"/>
      <c r="AH46" s="21" t="s">
        <v>38</v>
      </c>
      <c r="AI46" s="182"/>
      <c r="AJ46" s="182"/>
      <c r="AK46" s="182"/>
      <c r="AL46" s="21" t="s">
        <v>39</v>
      </c>
      <c r="AM46" s="87">
        <f t="shared" si="0"/>
        <v>1</v>
      </c>
      <c r="AV46" s="21"/>
      <c r="AW46" s="4" t="s">
        <v>90</v>
      </c>
      <c r="AX46" s="65" t="s">
        <v>101</v>
      </c>
      <c r="AZ46" s="20"/>
      <c r="BA46" s="20"/>
      <c r="BB46" s="20"/>
      <c r="BC46" s="20"/>
      <c r="BD46" s="20"/>
      <c r="BE46" s="20"/>
      <c r="BF46" s="20"/>
      <c r="BG46" s="20"/>
    </row>
    <row r="47" spans="2:59" ht="14.55" customHeight="1" x14ac:dyDescent="0.3">
      <c r="D47" s="2" t="str">
        <f>'Form 2B.1 - Design'!C77</f>
        <v xml:space="preserve">Select: </v>
      </c>
      <c r="E47" s="237">
        <f>'Form 2B.1 - Design'!F77</f>
        <v>0</v>
      </c>
      <c r="F47" s="237"/>
      <c r="G47" s="237"/>
      <c r="I47" s="230">
        <f>'Form 2B.1 - Design'!K77</f>
        <v>0</v>
      </c>
      <c r="J47" s="230"/>
      <c r="K47" s="230"/>
      <c r="L47" s="21" t="str">
        <f>'Form 2B.1 - Design'!N77</f>
        <v>in</v>
      </c>
      <c r="M47" s="230">
        <f>'Form 2B.1 - Design'!P77</f>
        <v>0</v>
      </c>
      <c r="N47" s="230"/>
      <c r="O47" s="230"/>
      <c r="P47" s="21" t="s">
        <v>38</v>
      </c>
      <c r="Q47" s="230">
        <f>'Form 2B.1 - Design'!U77</f>
        <v>0</v>
      </c>
      <c r="R47" s="230"/>
      <c r="S47" s="230"/>
      <c r="T47" s="21" t="s">
        <v>39</v>
      </c>
      <c r="U47" s="23"/>
      <c r="W47" s="201"/>
      <c r="X47" s="201"/>
      <c r="Y47" s="201"/>
      <c r="AA47" s="182"/>
      <c r="AB47" s="182"/>
      <c r="AC47" s="182"/>
      <c r="AD47" s="21" t="str">
        <f t="shared" si="1"/>
        <v>in</v>
      </c>
      <c r="AE47" s="182"/>
      <c r="AF47" s="182"/>
      <c r="AG47" s="182"/>
      <c r="AH47" s="21" t="s">
        <v>38</v>
      </c>
      <c r="AI47" s="182"/>
      <c r="AJ47" s="182"/>
      <c r="AK47" s="182"/>
      <c r="AL47" s="21" t="s">
        <v>39</v>
      </c>
      <c r="AM47" s="87">
        <f t="shared" si="0"/>
        <v>1</v>
      </c>
      <c r="AW47" s="4" t="s">
        <v>91</v>
      </c>
      <c r="AX47" s="65" t="s">
        <v>98</v>
      </c>
      <c r="AZ47" s="20"/>
      <c r="BA47" s="20"/>
      <c r="BB47" s="20"/>
      <c r="BC47" s="20"/>
      <c r="BD47" s="20"/>
      <c r="BE47" s="20"/>
      <c r="BF47" s="20"/>
      <c r="BG47" s="20"/>
    </row>
    <row r="48" spans="2:59" ht="14.55" customHeight="1" x14ac:dyDescent="0.3">
      <c r="D48" s="2" t="str">
        <f>'Form 2B.1 - Design'!C78</f>
        <v xml:space="preserve">Select: </v>
      </c>
      <c r="E48" s="237">
        <f>'Form 2B.1 - Design'!F78</f>
        <v>0</v>
      </c>
      <c r="F48" s="237"/>
      <c r="G48" s="237"/>
      <c r="I48" s="230">
        <f>'Form 2B.1 - Design'!K78</f>
        <v>0</v>
      </c>
      <c r="J48" s="230"/>
      <c r="K48" s="230"/>
      <c r="L48" s="21" t="str">
        <f>'Form 2B.1 - Design'!N78</f>
        <v>in</v>
      </c>
      <c r="M48" s="230">
        <f>'Form 2B.1 - Design'!P78</f>
        <v>0</v>
      </c>
      <c r="N48" s="230"/>
      <c r="O48" s="230"/>
      <c r="P48" s="21" t="s">
        <v>38</v>
      </c>
      <c r="Q48" s="230">
        <f>'Form 2B.1 - Design'!U78</f>
        <v>0</v>
      </c>
      <c r="R48" s="230"/>
      <c r="S48" s="230"/>
      <c r="T48" s="21" t="s">
        <v>39</v>
      </c>
      <c r="U48" s="23"/>
      <c r="W48" s="201"/>
      <c r="X48" s="201"/>
      <c r="Y48" s="201"/>
      <c r="AA48" s="182"/>
      <c r="AB48" s="182"/>
      <c r="AC48" s="182"/>
      <c r="AD48" s="21" t="str">
        <f t="shared" si="1"/>
        <v>in</v>
      </c>
      <c r="AE48" s="182"/>
      <c r="AF48" s="182"/>
      <c r="AG48" s="182"/>
      <c r="AH48" s="21" t="s">
        <v>38</v>
      </c>
      <c r="AI48" s="182"/>
      <c r="AJ48" s="182"/>
      <c r="AK48" s="182"/>
      <c r="AL48" s="21" t="s">
        <v>39</v>
      </c>
      <c r="AM48" s="87">
        <f t="shared" si="0"/>
        <v>1</v>
      </c>
      <c r="AY48" s="65"/>
      <c r="BA48" s="20"/>
      <c r="BB48" s="20"/>
      <c r="BC48" s="20"/>
      <c r="BD48" s="20"/>
      <c r="BE48" s="20"/>
      <c r="BF48" s="20"/>
      <c r="BG48" s="20"/>
    </row>
    <row r="49" spans="1:59" ht="14.55" customHeight="1" x14ac:dyDescent="0.3">
      <c r="D49" s="2" t="str">
        <f>'Form 2B.1 - Design'!C79</f>
        <v xml:space="preserve">Select: </v>
      </c>
      <c r="E49" s="237">
        <f>'Form 2B.1 - Design'!F79</f>
        <v>0</v>
      </c>
      <c r="F49" s="237"/>
      <c r="G49" s="237"/>
      <c r="I49" s="230">
        <f>'Form 2B.1 - Design'!K79</f>
        <v>0</v>
      </c>
      <c r="J49" s="230"/>
      <c r="K49" s="230"/>
      <c r="L49" s="21" t="str">
        <f>'Form 2B.1 - Design'!N79</f>
        <v>in</v>
      </c>
      <c r="M49" s="230">
        <f>'Form 2B.1 - Design'!P79</f>
        <v>0</v>
      </c>
      <c r="N49" s="230"/>
      <c r="O49" s="230"/>
      <c r="P49" s="21" t="s">
        <v>38</v>
      </c>
      <c r="Q49" s="230">
        <f>'Form 2B.1 - Design'!U79</f>
        <v>0</v>
      </c>
      <c r="R49" s="230"/>
      <c r="S49" s="230"/>
      <c r="T49" s="21" t="s">
        <v>39</v>
      </c>
      <c r="U49" s="23"/>
      <c r="W49" s="201"/>
      <c r="X49" s="201"/>
      <c r="Y49" s="201"/>
      <c r="AA49" s="182"/>
      <c r="AB49" s="182"/>
      <c r="AC49" s="182"/>
      <c r="AD49" s="21" t="str">
        <f t="shared" si="1"/>
        <v>in</v>
      </c>
      <c r="AE49" s="182"/>
      <c r="AF49" s="182"/>
      <c r="AG49" s="182"/>
      <c r="AH49" s="21" t="s">
        <v>38</v>
      </c>
      <c r="AI49" s="182"/>
      <c r="AJ49" s="182"/>
      <c r="AK49" s="182"/>
      <c r="AL49" s="21" t="s">
        <v>39</v>
      </c>
      <c r="AM49" s="87">
        <f t="shared" si="0"/>
        <v>1</v>
      </c>
      <c r="AY49" s="102"/>
      <c r="BA49" s="20"/>
      <c r="BB49" s="20"/>
      <c r="BC49" s="20"/>
      <c r="BD49" s="20"/>
      <c r="BE49" s="20"/>
      <c r="BF49" s="20"/>
      <c r="BG49" s="20"/>
    </row>
    <row r="50" spans="1:59" ht="14.55" customHeight="1" x14ac:dyDescent="0.3">
      <c r="U50" s="23"/>
      <c r="AM50" s="87">
        <f t="shared" si="0"/>
        <v>1</v>
      </c>
      <c r="AY50" s="102"/>
      <c r="BA50" s="20"/>
      <c r="BB50" s="20"/>
      <c r="BC50" s="20"/>
      <c r="BD50" s="20"/>
      <c r="BE50" s="20"/>
      <c r="BF50" s="20"/>
      <c r="BG50" s="20"/>
    </row>
    <row r="51" spans="1:59" ht="4.95" customHeight="1" x14ac:dyDescent="0.3">
      <c r="T51" s="25"/>
      <c r="AA51" s="25"/>
      <c r="AB51" s="25"/>
      <c r="AC51" s="25"/>
      <c r="AE51" s="25"/>
      <c r="AF51" s="25"/>
      <c r="AG51" s="25"/>
      <c r="AI51" s="25"/>
      <c r="AJ51" s="25"/>
      <c r="AK51" s="25"/>
      <c r="AV51" s="21"/>
      <c r="BA51" s="20"/>
      <c r="BB51" s="20"/>
      <c r="BC51" s="20"/>
      <c r="BD51" s="20"/>
      <c r="BE51" s="20"/>
      <c r="BF51" s="20"/>
      <c r="BG51" s="20"/>
    </row>
    <row r="52" spans="1:59" ht="15" customHeight="1" x14ac:dyDescent="0.3">
      <c r="T52" s="25"/>
      <c r="AA52" s="25"/>
      <c r="AB52" s="25"/>
      <c r="AC52" s="25"/>
      <c r="AE52" s="25"/>
      <c r="AF52" s="25"/>
      <c r="AG52" s="25"/>
      <c r="AI52" s="25"/>
      <c r="AJ52" s="25"/>
      <c r="AK52" s="25"/>
      <c r="AV52" s="21"/>
      <c r="BA52" s="20"/>
      <c r="BB52" s="20"/>
      <c r="BC52" s="20"/>
      <c r="BD52" s="20"/>
      <c r="BE52" s="20"/>
      <c r="BF52" s="20"/>
      <c r="BG52" s="20"/>
    </row>
    <row r="53" spans="1:59" ht="15" customHeight="1" x14ac:dyDescent="0.3">
      <c r="T53" s="25"/>
      <c r="AA53" s="25"/>
      <c r="AB53" s="25"/>
      <c r="AC53" s="25"/>
      <c r="AE53" s="25"/>
      <c r="AF53" s="25"/>
      <c r="AG53" s="25"/>
      <c r="AI53" s="25"/>
      <c r="AJ53" s="25"/>
      <c r="AK53" s="25"/>
      <c r="AV53" s="21"/>
      <c r="BA53" s="20"/>
      <c r="BB53" s="20"/>
      <c r="BC53" s="20"/>
      <c r="BD53" s="20"/>
      <c r="BE53" s="20"/>
      <c r="BF53" s="20"/>
      <c r="BG53" s="20"/>
    </row>
    <row r="54" spans="1:59" ht="15" customHeight="1" x14ac:dyDescent="0.3">
      <c r="B54" s="2"/>
      <c r="C54" s="2"/>
      <c r="D54" s="2"/>
      <c r="E54" s="2"/>
      <c r="F54" s="2"/>
      <c r="G54" s="2"/>
      <c r="J54" s="25"/>
      <c r="K54" s="25"/>
      <c r="L54" s="25"/>
      <c r="N54" s="25"/>
      <c r="O54" s="25"/>
      <c r="P54" s="25"/>
      <c r="R54" s="25"/>
      <c r="S54" s="25"/>
      <c r="T54" s="25"/>
      <c r="AA54" s="25"/>
      <c r="AB54" s="25"/>
      <c r="AC54" s="25"/>
      <c r="AE54" s="25"/>
      <c r="AF54" s="25"/>
      <c r="AG54" s="25"/>
      <c r="AI54" s="25"/>
      <c r="AJ54" s="25"/>
      <c r="AK54" s="25"/>
      <c r="AV54" s="21"/>
      <c r="BA54" s="20"/>
      <c r="BB54" s="20"/>
      <c r="BC54" s="20"/>
      <c r="BD54" s="20"/>
      <c r="BE54" s="20"/>
      <c r="BF54" s="20"/>
      <c r="BG54" s="20"/>
    </row>
    <row r="55" spans="1:59" ht="15" customHeight="1" x14ac:dyDescent="0.3">
      <c r="B55" s="2"/>
      <c r="C55" s="2"/>
      <c r="D55" s="2"/>
      <c r="E55" s="2"/>
      <c r="F55" s="2"/>
      <c r="G55" s="2"/>
      <c r="J55" s="25"/>
      <c r="K55" s="25"/>
      <c r="L55" s="25"/>
      <c r="N55" s="25"/>
      <c r="O55" s="25"/>
      <c r="P55" s="25"/>
      <c r="R55" s="25"/>
      <c r="S55" s="25"/>
      <c r="T55" s="25"/>
      <c r="AA55" s="25"/>
      <c r="AB55" s="25"/>
      <c r="AC55" s="25"/>
      <c r="AE55" s="25"/>
      <c r="AF55" s="25"/>
      <c r="AG55" s="25"/>
      <c r="AI55" s="25"/>
      <c r="AJ55" s="25"/>
      <c r="AK55" s="25"/>
      <c r="AV55" s="21"/>
      <c r="BA55" s="20"/>
      <c r="BB55" s="20"/>
      <c r="BC55" s="20"/>
      <c r="BD55" s="20"/>
      <c r="BE55" s="20"/>
      <c r="BF55" s="20"/>
      <c r="BG55" s="20"/>
    </row>
    <row r="56" spans="1:59" ht="15" customHeight="1" x14ac:dyDescent="0.3">
      <c r="AK56" s="25"/>
      <c r="AV56" s="21"/>
      <c r="AX56" s="99"/>
      <c r="AY56" s="65"/>
      <c r="BA56" s="20"/>
      <c r="BB56" s="20"/>
      <c r="BC56" s="20"/>
      <c r="BD56" s="20"/>
      <c r="BE56" s="20"/>
      <c r="BF56" s="20"/>
      <c r="BG56" s="20"/>
    </row>
    <row r="57" spans="1:59" ht="15" customHeight="1" x14ac:dyDescent="0.3">
      <c r="B57" s="200">
        <f>Tables!$F$13</f>
        <v>46266</v>
      </c>
      <c r="C57" s="200"/>
      <c r="D57" s="200"/>
      <c r="E57" s="200"/>
      <c r="F57" s="200"/>
      <c r="G57" s="200"/>
      <c r="H57" s="200"/>
      <c r="R57" s="186" t="s">
        <v>408</v>
      </c>
      <c r="S57" s="186"/>
      <c r="T57" s="186"/>
      <c r="U57" s="186"/>
      <c r="AK57" s="25"/>
      <c r="AV57" s="21"/>
      <c r="BA57" s="20"/>
      <c r="BB57" s="20"/>
      <c r="BC57" s="20"/>
      <c r="BD57" s="20"/>
      <c r="BE57" s="20"/>
      <c r="BF57" s="20"/>
      <c r="BG57" s="20"/>
    </row>
    <row r="58" spans="1:59" ht="15" customHeight="1" x14ac:dyDescent="0.3">
      <c r="C58" s="2" t="s">
        <v>1</v>
      </c>
      <c r="D58" s="199">
        <f>IF(ISBLANK($E$7),"",$E$7)</f>
        <v>0</v>
      </c>
      <c r="E58" s="199"/>
      <c r="F58" s="199"/>
      <c r="G58" s="199"/>
      <c r="H58" s="199"/>
      <c r="I58" s="199"/>
      <c r="J58" s="199"/>
      <c r="K58" s="199"/>
      <c r="L58" s="199"/>
      <c r="M58" s="199"/>
      <c r="N58" s="199"/>
      <c r="O58" s="199"/>
      <c r="P58" s="199"/>
      <c r="Q58" s="199"/>
      <c r="R58" s="199"/>
      <c r="S58" s="199"/>
      <c r="T58" s="199"/>
      <c r="U58" s="199"/>
      <c r="V58" s="199"/>
      <c r="W58" s="199"/>
      <c r="X58" s="199"/>
      <c r="Y58" s="199"/>
      <c r="Z58" s="199"/>
      <c r="AA58" s="33"/>
      <c r="AB58" s="33"/>
      <c r="AC58" s="33"/>
      <c r="AF58" s="2" t="s">
        <v>19</v>
      </c>
      <c r="AG58" s="179">
        <f>AF7</f>
        <v>0</v>
      </c>
      <c r="AH58" s="179"/>
      <c r="AI58" s="179"/>
      <c r="AJ58" s="179"/>
      <c r="AK58" s="179"/>
      <c r="AV58" s="21"/>
      <c r="BA58" s="20"/>
      <c r="BB58" s="20"/>
      <c r="BC58" s="20"/>
      <c r="BD58" s="20"/>
      <c r="BE58" s="20"/>
      <c r="BF58" s="20"/>
      <c r="BG58" s="20"/>
    </row>
    <row r="59" spans="1:59" ht="15" customHeight="1" x14ac:dyDescent="0.3">
      <c r="H59" s="34"/>
      <c r="I59" s="34"/>
      <c r="J59" s="2"/>
      <c r="K59" s="2"/>
      <c r="L59" s="2"/>
      <c r="M59" s="34"/>
      <c r="N59" s="33"/>
      <c r="O59" s="33"/>
      <c r="P59" s="33"/>
      <c r="Q59" s="33"/>
      <c r="R59" s="33"/>
      <c r="S59" s="33"/>
      <c r="T59" s="33"/>
      <c r="U59" s="33"/>
      <c r="V59" s="33"/>
      <c r="W59" s="33"/>
      <c r="X59" s="33"/>
      <c r="Y59" s="33"/>
      <c r="Z59" s="33"/>
      <c r="AA59" s="33"/>
      <c r="AB59" s="33"/>
      <c r="AC59" s="33"/>
      <c r="AF59" s="2" t="s">
        <v>32</v>
      </c>
      <c r="AG59" s="229">
        <f>IF(ISBLANK($AF$8),"",$AF$8)</f>
        <v>0</v>
      </c>
      <c r="AH59" s="229"/>
      <c r="AI59" s="229"/>
      <c r="AJ59" s="229"/>
      <c r="AK59" s="229"/>
      <c r="AV59" s="21"/>
      <c r="BA59" s="20"/>
      <c r="BB59" s="20"/>
      <c r="BC59" s="20"/>
      <c r="BD59" s="20"/>
      <c r="BE59" s="20"/>
      <c r="BF59" s="20"/>
      <c r="BG59" s="20"/>
    </row>
    <row r="60" spans="1:59" ht="4.95" customHeight="1" x14ac:dyDescent="0.3">
      <c r="B60" s="2"/>
      <c r="C60" s="2"/>
      <c r="D60" s="2"/>
      <c r="E60" s="2"/>
      <c r="F60" s="2"/>
      <c r="G60" s="2"/>
      <c r="J60" s="25"/>
      <c r="K60" s="25"/>
      <c r="L60" s="25"/>
      <c r="N60" s="25"/>
      <c r="O60" s="25"/>
      <c r="P60" s="25"/>
      <c r="R60" s="25"/>
      <c r="S60" s="25"/>
      <c r="T60" s="25"/>
      <c r="AA60" s="25"/>
      <c r="AB60" s="25"/>
      <c r="AC60" s="25"/>
      <c r="AE60" s="25"/>
      <c r="AF60" s="25"/>
      <c r="AG60" s="25"/>
      <c r="AI60" s="25"/>
      <c r="AJ60" s="25"/>
      <c r="AK60" s="25"/>
      <c r="AV60" s="21"/>
      <c r="BA60" s="20"/>
      <c r="BB60" s="20"/>
      <c r="BC60" s="20"/>
      <c r="BD60" s="20"/>
      <c r="BE60" s="20"/>
      <c r="BF60" s="20"/>
      <c r="BG60" s="20"/>
    </row>
    <row r="61" spans="1:59" ht="15" customHeight="1" x14ac:dyDescent="0.3">
      <c r="A61" s="228" t="s">
        <v>426</v>
      </c>
      <c r="B61" s="228"/>
      <c r="C61" s="228"/>
      <c r="D61" s="228"/>
      <c r="E61" s="228"/>
      <c r="F61" s="228"/>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14"/>
      <c r="AN61" s="96"/>
      <c r="AV61" s="21"/>
      <c r="BA61" s="20"/>
      <c r="BB61" s="20"/>
      <c r="BC61" s="20"/>
      <c r="BD61" s="20"/>
      <c r="BE61" s="20"/>
      <c r="BF61" s="20"/>
      <c r="BG61" s="20"/>
    </row>
    <row r="62" spans="1:59" ht="15" customHeight="1" x14ac:dyDescent="0.3">
      <c r="B62" s="1" t="s">
        <v>51</v>
      </c>
      <c r="C62" s="1"/>
      <c r="D62" s="1"/>
      <c r="E62" s="1"/>
      <c r="G62" s="2" t="s">
        <v>432</v>
      </c>
      <c r="H62" s="244">
        <f>'Form 2B.1 - Design'!F83</f>
        <v>0</v>
      </c>
      <c r="I62" s="244"/>
      <c r="J62" s="244"/>
      <c r="K62" s="244"/>
      <c r="L62" s="244"/>
      <c r="M62" s="244"/>
      <c r="N62" s="244"/>
      <c r="O62" s="244"/>
      <c r="P62" s="244"/>
      <c r="Q62" s="30"/>
      <c r="R62" s="30"/>
      <c r="S62" s="30"/>
      <c r="T62" s="27"/>
      <c r="U62" s="1" t="s">
        <v>52</v>
      </c>
      <c r="W62" s="1"/>
      <c r="X62" s="1"/>
      <c r="Z62" s="2" t="s">
        <v>432</v>
      </c>
      <c r="AA62" s="201"/>
      <c r="AB62" s="201"/>
      <c r="AC62" s="201"/>
      <c r="AD62" s="201"/>
      <c r="AE62" s="201"/>
      <c r="AF62" s="201"/>
      <c r="AG62" s="201"/>
      <c r="AH62" s="201"/>
      <c r="AI62" s="201"/>
      <c r="AJ62" s="30"/>
      <c r="AK62" s="30"/>
      <c r="AL62" s="30"/>
      <c r="AM62" s="87">
        <f>IF(ISBLANK(AA62),1,0)</f>
        <v>1</v>
      </c>
      <c r="AN62" s="96"/>
      <c r="AV62" s="21"/>
      <c r="BA62" s="20"/>
      <c r="BB62" s="20"/>
      <c r="BC62" s="20"/>
      <c r="BD62" s="20"/>
      <c r="BE62" s="20"/>
      <c r="BF62" s="20"/>
      <c r="BG62" s="20"/>
    </row>
    <row r="63" spans="1:59" ht="15" customHeight="1" x14ac:dyDescent="0.3">
      <c r="B63" s="1"/>
      <c r="C63" s="1"/>
      <c r="D63" s="2" t="s">
        <v>184</v>
      </c>
      <c r="E63" s="219">
        <f>'Form 2B.1 - Design'!F85</f>
        <v>0</v>
      </c>
      <c r="F63" s="219"/>
      <c r="G63" s="219"/>
      <c r="H63" s="21" t="s">
        <v>39</v>
      </c>
      <c r="K63" s="2" t="s">
        <v>180</v>
      </c>
      <c r="L63" s="222">
        <f>'Form 2B.1 - Design'!M85</f>
        <v>0</v>
      </c>
      <c r="M63" s="222"/>
      <c r="N63" s="222"/>
      <c r="O63" s="21" t="s">
        <v>39</v>
      </c>
      <c r="T63" s="138"/>
      <c r="U63" s="2"/>
      <c r="W63" s="2" t="s">
        <v>184</v>
      </c>
      <c r="X63" s="183"/>
      <c r="Y63" s="183"/>
      <c r="Z63" s="183"/>
      <c r="AA63" s="21" t="s">
        <v>39</v>
      </c>
      <c r="AD63" s="2" t="s">
        <v>180</v>
      </c>
      <c r="AE63" s="178"/>
      <c r="AF63" s="178"/>
      <c r="AG63" s="178"/>
      <c r="AH63" s="21" t="s">
        <v>39</v>
      </c>
      <c r="AM63" s="87">
        <f>IF(ISBLANK(X63),1,0)</f>
        <v>1</v>
      </c>
      <c r="AN63" s="87">
        <f>IF(ISBLANK(AE63),1,0)</f>
        <v>1</v>
      </c>
      <c r="AV63" s="21"/>
      <c r="BA63" s="20"/>
      <c r="BB63" s="20"/>
      <c r="BC63" s="20"/>
      <c r="BD63" s="20"/>
      <c r="BE63" s="20"/>
      <c r="BF63" s="20"/>
      <c r="BG63" s="20"/>
    </row>
    <row r="64" spans="1:59" ht="15" customHeight="1" x14ac:dyDescent="0.3">
      <c r="B64" s="1"/>
      <c r="C64" s="1"/>
      <c r="D64" s="2"/>
      <c r="E64" s="24"/>
      <c r="F64" s="24"/>
      <c r="K64" s="2"/>
      <c r="L64" s="24"/>
      <c r="M64" s="24"/>
      <c r="T64" s="138"/>
      <c r="U64" s="2"/>
      <c r="W64" s="2"/>
      <c r="X64" s="24"/>
      <c r="Y64" s="24"/>
      <c r="AD64" s="2"/>
      <c r="AE64" s="24"/>
      <c r="AF64" s="24"/>
      <c r="AM64" s="14"/>
      <c r="AN64" s="96"/>
      <c r="AV64" s="21"/>
      <c r="BA64" s="20"/>
      <c r="BB64" s="20"/>
      <c r="BC64" s="20"/>
      <c r="BD64" s="20"/>
      <c r="BE64" s="20"/>
      <c r="BF64" s="20"/>
      <c r="BG64" s="20"/>
    </row>
    <row r="65" spans="1:59" ht="15" customHeight="1" x14ac:dyDescent="0.3">
      <c r="B65" s="1"/>
      <c r="C65" s="1"/>
      <c r="D65" s="2" t="s">
        <v>433</v>
      </c>
      <c r="E65" s="231">
        <f>'Form 2B.1 - Design'!U85</f>
        <v>0</v>
      </c>
      <c r="F65" s="231"/>
      <c r="G65" s="21" t="s">
        <v>39</v>
      </c>
      <c r="L65" s="2" t="s">
        <v>434</v>
      </c>
      <c r="M65" s="163">
        <f>'Form 2B.1 - Design'!AF85</f>
        <v>0</v>
      </c>
      <c r="N65" s="21" t="s">
        <v>117</v>
      </c>
      <c r="P65" s="163">
        <f>'Form 2B.1 - Design'!AI85</f>
        <v>0</v>
      </c>
      <c r="Q65" s="30" t="s">
        <v>137</v>
      </c>
      <c r="T65" s="138"/>
      <c r="W65" s="2" t="s">
        <v>433</v>
      </c>
      <c r="X65" s="180"/>
      <c r="Y65" s="180"/>
      <c r="Z65" s="21" t="s">
        <v>39</v>
      </c>
      <c r="AE65" s="2" t="s">
        <v>434</v>
      </c>
      <c r="AF65" s="162"/>
      <c r="AG65" s="21" t="s">
        <v>117</v>
      </c>
      <c r="AI65" s="162"/>
      <c r="AJ65" s="30" t="s">
        <v>137</v>
      </c>
      <c r="AM65" s="87">
        <f>IF(ISBLANK(X65),1,0)</f>
        <v>1</v>
      </c>
      <c r="AN65" s="87">
        <f>IF(AND(ISBLANK(AF65),ISBLANK(AI65)),1,0)</f>
        <v>1</v>
      </c>
      <c r="AO65" s="87">
        <f>IF(ISBLANK(AI65),1,2)</f>
        <v>1</v>
      </c>
      <c r="AV65" s="21"/>
      <c r="BA65" s="20"/>
      <c r="BB65" s="20"/>
      <c r="BC65" s="20"/>
      <c r="BD65" s="20"/>
      <c r="BE65" s="20"/>
      <c r="BF65" s="20"/>
      <c r="BG65" s="20"/>
    </row>
    <row r="66" spans="1:59" ht="4.95" customHeight="1" x14ac:dyDescent="0.3">
      <c r="AN66" s="15"/>
      <c r="AV66" s="21"/>
      <c r="BA66" s="20"/>
      <c r="BB66" s="20"/>
      <c r="BC66" s="20"/>
      <c r="BD66" s="20"/>
      <c r="BE66" s="20"/>
      <c r="BF66" s="20"/>
      <c r="BG66" s="20"/>
    </row>
    <row r="67" spans="1:59" ht="15" customHeight="1" x14ac:dyDescent="0.3">
      <c r="A67" s="227" t="s">
        <v>386</v>
      </c>
      <c r="B67" s="227"/>
      <c r="C67" s="227"/>
      <c r="D67" s="227"/>
      <c r="E67" s="227"/>
      <c r="F67" s="227"/>
      <c r="G67" s="227"/>
      <c r="H67" s="227"/>
      <c r="I67" s="227"/>
      <c r="J67" s="227"/>
      <c r="K67" s="227"/>
      <c r="L67" s="227"/>
      <c r="M67" s="227"/>
      <c r="N67" s="227"/>
      <c r="O67" s="227"/>
      <c r="P67" s="227"/>
      <c r="Q67" s="227"/>
      <c r="R67" s="227"/>
      <c r="S67" s="227"/>
      <c r="T67" s="227"/>
      <c r="U67" s="227"/>
      <c r="V67" s="227"/>
      <c r="W67" s="227"/>
      <c r="X67" s="227"/>
      <c r="Y67" s="227"/>
      <c r="Z67" s="227"/>
      <c r="AA67" s="227"/>
      <c r="AB67" s="227"/>
      <c r="AC67" s="227"/>
      <c r="AD67" s="227"/>
      <c r="AE67" s="227"/>
      <c r="AF67" s="227"/>
      <c r="AG67" s="227"/>
      <c r="AH67" s="227"/>
      <c r="AI67" s="227"/>
      <c r="AJ67" s="227"/>
      <c r="AK67" s="227"/>
      <c r="AL67" s="227"/>
      <c r="AM67" s="89"/>
      <c r="AN67" s="90"/>
      <c r="AX67" s="20"/>
      <c r="AY67" s="20"/>
      <c r="AZ67" s="20"/>
      <c r="BA67" s="20"/>
      <c r="BB67" s="20"/>
      <c r="BC67" s="20"/>
      <c r="BD67" s="20"/>
      <c r="BE67" s="20"/>
      <c r="BF67" s="20"/>
      <c r="BG67" s="20"/>
    </row>
    <row r="68" spans="1:59" ht="15" customHeight="1" x14ac:dyDescent="0.3">
      <c r="B68" s="1" t="s">
        <v>51</v>
      </c>
      <c r="C68" s="1"/>
      <c r="D68" s="1"/>
      <c r="E68" s="1"/>
      <c r="F68" s="1"/>
      <c r="G68" s="1"/>
      <c r="I68" s="1"/>
      <c r="J68" s="1"/>
      <c r="K68" s="1"/>
      <c r="L68" s="1"/>
      <c r="M68" s="1"/>
      <c r="N68" s="1"/>
      <c r="O68" s="1"/>
      <c r="P68" s="1"/>
      <c r="Q68" s="1"/>
      <c r="R68" s="1"/>
      <c r="S68" s="1"/>
      <c r="T68" s="1"/>
      <c r="U68" s="23"/>
      <c r="V68" s="1" t="s">
        <v>52</v>
      </c>
      <c r="W68" s="1"/>
      <c r="X68" s="1"/>
      <c r="Y68" s="1"/>
      <c r="Z68" s="1"/>
      <c r="AA68" s="1"/>
      <c r="AB68" s="1"/>
      <c r="AC68" s="1"/>
      <c r="AD68" s="1"/>
      <c r="AE68" s="1"/>
      <c r="AF68" s="1"/>
      <c r="AG68" s="1"/>
      <c r="AH68" s="1"/>
      <c r="AI68" s="49"/>
      <c r="AJ68" s="49"/>
      <c r="AM68" s="87">
        <f>SUM(AM69:AM71,AO69:AO71)</f>
        <v>0</v>
      </c>
      <c r="AN68" s="14" t="s">
        <v>76</v>
      </c>
      <c r="AV68" s="19"/>
      <c r="AY68" s="20"/>
      <c r="AZ68" s="20"/>
      <c r="BA68" s="20"/>
      <c r="BB68" s="20"/>
      <c r="BC68" s="20"/>
      <c r="BD68" s="20"/>
      <c r="BE68" s="20"/>
      <c r="BF68" s="20"/>
      <c r="BG68" s="20"/>
    </row>
    <row r="69" spans="1:59" ht="15" customHeight="1" x14ac:dyDescent="0.3">
      <c r="C69" s="2"/>
      <c r="D69" s="2" t="s">
        <v>27</v>
      </c>
      <c r="E69" s="199">
        <f>'Form 2B.1 - Design'!F88</f>
        <v>0</v>
      </c>
      <c r="F69" s="199"/>
      <c r="G69" s="199"/>
      <c r="H69" s="199"/>
      <c r="N69" s="2" t="s">
        <v>30</v>
      </c>
      <c r="O69" s="199">
        <f>'Form 2B.1 - Design'!O88</f>
        <v>0</v>
      </c>
      <c r="P69" s="199"/>
      <c r="Q69" s="199"/>
      <c r="R69" s="199"/>
      <c r="U69" s="23"/>
      <c r="X69" s="2" t="s">
        <v>27</v>
      </c>
      <c r="Y69" s="201"/>
      <c r="Z69" s="201"/>
      <c r="AA69" s="201"/>
      <c r="AB69" s="201"/>
      <c r="AG69" s="2" t="s">
        <v>30</v>
      </c>
      <c r="AH69" s="201"/>
      <c r="AI69" s="201"/>
      <c r="AJ69" s="201"/>
      <c r="AK69" s="201"/>
      <c r="AM69" s="87">
        <f>IF(ISBLANK(Y69),0,1)</f>
        <v>0</v>
      </c>
      <c r="AN69" s="14" t="s">
        <v>21</v>
      </c>
      <c r="AO69" s="87">
        <f>IF(ISBLANK(AH69),0,1)</f>
        <v>0</v>
      </c>
      <c r="AP69" s="96" t="s">
        <v>31</v>
      </c>
      <c r="AQ69" s="96"/>
      <c r="AR69" s="96"/>
      <c r="AV69" s="19"/>
      <c r="AY69" s="20"/>
      <c r="AZ69" s="20"/>
      <c r="BA69" s="20"/>
      <c r="BB69" s="20"/>
      <c r="BC69" s="20"/>
      <c r="BD69" s="20"/>
      <c r="BE69" s="20"/>
      <c r="BF69" s="20"/>
      <c r="BG69" s="20"/>
    </row>
    <row r="70" spans="1:59" ht="15" customHeight="1" x14ac:dyDescent="0.3">
      <c r="C70" s="2"/>
      <c r="D70" s="2" t="s">
        <v>36</v>
      </c>
      <c r="E70" s="230">
        <f>'Form 2B.1 - Design'!F89</f>
        <v>0</v>
      </c>
      <c r="F70" s="230"/>
      <c r="G70" s="230"/>
      <c r="H70" s="21" t="s">
        <v>39</v>
      </c>
      <c r="N70" s="2" t="s">
        <v>40</v>
      </c>
      <c r="O70" s="230">
        <f>'Form 2B.1 - Design'!O89</f>
        <v>0</v>
      </c>
      <c r="P70" s="230"/>
      <c r="Q70" s="230"/>
      <c r="R70" s="21" t="s">
        <v>39</v>
      </c>
      <c r="U70" s="23"/>
      <c r="X70" s="2" t="s">
        <v>36</v>
      </c>
      <c r="Y70" s="182"/>
      <c r="Z70" s="182"/>
      <c r="AA70" s="182"/>
      <c r="AB70" s="21" t="s">
        <v>39</v>
      </c>
      <c r="AG70" s="2" t="s">
        <v>40</v>
      </c>
      <c r="AH70" s="182"/>
      <c r="AI70" s="182"/>
      <c r="AJ70" s="182"/>
      <c r="AK70" s="21" t="s">
        <v>39</v>
      </c>
      <c r="AM70" s="87">
        <f>IF(ISBLANK(Y70),0,1)</f>
        <v>0</v>
      </c>
      <c r="AN70" s="14" t="s">
        <v>47</v>
      </c>
      <c r="AO70" s="87">
        <f>IF(ISBLANK(AH70),0,1)</f>
        <v>0</v>
      </c>
      <c r="AP70" s="14" t="s">
        <v>73</v>
      </c>
      <c r="AQ70" s="14"/>
      <c r="AR70" s="14"/>
      <c r="AV70" s="19"/>
      <c r="AY70" s="20"/>
      <c r="AZ70" s="20"/>
      <c r="BA70" s="20"/>
      <c r="BB70" s="20"/>
      <c r="BC70" s="20"/>
      <c r="BD70" s="20"/>
      <c r="BE70" s="20"/>
      <c r="BF70" s="20"/>
      <c r="BG70" s="20"/>
    </row>
    <row r="71" spans="1:59" ht="15" customHeight="1" x14ac:dyDescent="0.3">
      <c r="C71" s="2"/>
      <c r="D71" s="2" t="s">
        <v>42</v>
      </c>
      <c r="E71" s="230">
        <f>'Form 2B.1 - Design'!W89</f>
        <v>0</v>
      </c>
      <c r="F71" s="230"/>
      <c r="G71" s="230"/>
      <c r="H71" s="21" t="s">
        <v>39</v>
      </c>
      <c r="N71" s="2" t="s">
        <v>111</v>
      </c>
      <c r="O71" s="230">
        <f>'Form 2B.1 - Design'!AF89</f>
        <v>0</v>
      </c>
      <c r="P71" s="230"/>
      <c r="Q71" s="230"/>
      <c r="R71" s="21" t="s">
        <v>39</v>
      </c>
      <c r="U71" s="53"/>
      <c r="X71" s="2" t="s">
        <v>42</v>
      </c>
      <c r="Y71" s="182"/>
      <c r="Z71" s="182"/>
      <c r="AA71" s="182"/>
      <c r="AB71" s="21" t="s">
        <v>39</v>
      </c>
      <c r="AG71" s="2" t="s">
        <v>111</v>
      </c>
      <c r="AH71" s="182"/>
      <c r="AI71" s="182"/>
      <c r="AJ71" s="182"/>
      <c r="AK71" s="21" t="s">
        <v>39</v>
      </c>
      <c r="AM71" s="87">
        <f>IF(ISBLANK(Y71),0,1)</f>
        <v>0</v>
      </c>
      <c r="AN71" s="14" t="s">
        <v>74</v>
      </c>
      <c r="AO71" s="87">
        <f>IF(ISBLANK(AH71),0,1)</f>
        <v>0</v>
      </c>
      <c r="AP71" s="14" t="s">
        <v>75</v>
      </c>
      <c r="AQ71" s="14"/>
      <c r="AR71" s="14"/>
      <c r="AV71" s="19"/>
      <c r="AY71" s="20"/>
    </row>
    <row r="72" spans="1:59" ht="4.95" customHeight="1" x14ac:dyDescent="0.3">
      <c r="B72" s="2"/>
      <c r="C72" s="2"/>
      <c r="D72" s="2"/>
      <c r="E72" s="2"/>
      <c r="F72" s="2"/>
      <c r="G72" s="2"/>
      <c r="H72" s="25"/>
      <c r="M72" s="2"/>
      <c r="N72" s="25"/>
      <c r="O72" s="25"/>
      <c r="P72" s="25"/>
      <c r="U72" s="2"/>
      <c r="V72" s="2"/>
      <c r="W72" s="25"/>
      <c r="X72" s="25"/>
      <c r="Y72" s="25"/>
      <c r="AD72" s="2"/>
      <c r="AE72" s="25"/>
      <c r="AF72" s="25"/>
      <c r="AG72" s="25"/>
      <c r="AM72" s="89"/>
      <c r="AO72" s="95"/>
      <c r="AV72" s="21"/>
      <c r="AY72" s="20"/>
    </row>
    <row r="73" spans="1:59" s="5" customFormat="1" ht="15" customHeight="1" x14ac:dyDescent="0.3">
      <c r="A73" s="245" t="s">
        <v>14</v>
      </c>
      <c r="B73" s="245"/>
      <c r="C73" s="245"/>
      <c r="D73" s="245"/>
      <c r="E73" s="245"/>
      <c r="F73" s="245"/>
      <c r="G73" s="245"/>
      <c r="H73" s="245"/>
      <c r="I73" s="245"/>
      <c r="J73" s="245"/>
      <c r="K73" s="245"/>
      <c r="L73" s="245"/>
      <c r="M73" s="245"/>
      <c r="N73" s="245"/>
      <c r="O73" s="245"/>
      <c r="P73" s="245"/>
      <c r="Q73" s="245"/>
      <c r="R73" s="245"/>
      <c r="S73" s="245"/>
      <c r="T73" s="245"/>
      <c r="U73" s="245"/>
      <c r="V73" s="245"/>
      <c r="W73" s="245"/>
      <c r="X73" s="245"/>
      <c r="Y73" s="245"/>
      <c r="Z73" s="245"/>
      <c r="AA73" s="245"/>
      <c r="AB73" s="245"/>
      <c r="AC73" s="245"/>
      <c r="AD73" s="245"/>
      <c r="AE73" s="245"/>
      <c r="AF73" s="245"/>
      <c r="AG73" s="245"/>
      <c r="AH73" s="245"/>
      <c r="AI73" s="245"/>
      <c r="AJ73" s="245"/>
      <c r="AK73" s="245"/>
      <c r="AL73" s="245"/>
      <c r="AM73" s="89"/>
      <c r="AN73" s="89"/>
      <c r="AO73" s="89"/>
      <c r="AP73" s="15"/>
      <c r="AQ73" s="15"/>
      <c r="AR73" s="15"/>
      <c r="AS73" s="15"/>
      <c r="AT73" s="15"/>
      <c r="AY73" s="20"/>
    </row>
    <row r="74" spans="1:59" ht="15" customHeight="1" x14ac:dyDescent="0.3">
      <c r="B74" s="1" t="s">
        <v>51</v>
      </c>
      <c r="C74" s="1"/>
      <c r="D74" s="1"/>
      <c r="E74" s="1"/>
      <c r="F74" s="1"/>
      <c r="H74" s="28" t="s">
        <v>43</v>
      </c>
      <c r="I74" s="238">
        <f>'Form 2B.1 - Design'!O91</f>
        <v>0</v>
      </c>
      <c r="J74" s="238"/>
      <c r="K74" s="238"/>
      <c r="L74" s="238"/>
      <c r="O74" s="51"/>
      <c r="P74" s="51"/>
      <c r="Q74" s="1"/>
      <c r="R74" s="1"/>
      <c r="S74" s="1"/>
      <c r="U74" s="23"/>
      <c r="V74" s="1" t="s">
        <v>52</v>
      </c>
      <c r="W74" s="1"/>
      <c r="X74" s="1"/>
      <c r="Y74" s="29"/>
      <c r="AA74" s="28"/>
      <c r="AC74" s="28" t="s">
        <v>43</v>
      </c>
      <c r="AD74" s="206"/>
      <c r="AE74" s="206"/>
      <c r="AF74" s="206"/>
      <c r="AG74" s="206"/>
      <c r="AH74" s="29"/>
      <c r="AI74" s="29"/>
      <c r="AJ74" s="29"/>
      <c r="AK74" s="29"/>
      <c r="AM74" s="87">
        <f>IF(ISBLANK(AD74),0,1)</f>
        <v>0</v>
      </c>
      <c r="AN74" s="14" t="s">
        <v>138</v>
      </c>
      <c r="AR74" s="60" t="s">
        <v>382</v>
      </c>
      <c r="AS74" s="87">
        <f>IF(ISBLANK(AD74),1,IF(ISTEXT(AD74)=TRUE,3,2))</f>
        <v>1</v>
      </c>
      <c r="AY74" s="20"/>
    </row>
    <row r="75" spans="1:59" ht="15" customHeight="1" x14ac:dyDescent="0.3">
      <c r="B75" s="1"/>
      <c r="C75" s="1"/>
      <c r="D75" s="1"/>
      <c r="E75" s="1"/>
      <c r="F75" s="1"/>
      <c r="H75" s="2" t="s">
        <v>44</v>
      </c>
      <c r="I75" s="239">
        <f>'Form 2B.1 - Design'!W91</f>
        <v>0</v>
      </c>
      <c r="J75" s="239"/>
      <c r="K75" s="239"/>
      <c r="L75" s="239"/>
      <c r="O75" s="51"/>
      <c r="P75" s="51"/>
      <c r="Q75" s="30"/>
      <c r="U75" s="53"/>
      <c r="AA75" s="2"/>
      <c r="AC75" s="2" t="s">
        <v>44</v>
      </c>
      <c r="AD75" s="240"/>
      <c r="AE75" s="240"/>
      <c r="AF75" s="240"/>
      <c r="AG75" s="240"/>
      <c r="AM75" s="87">
        <f>IF(ISBLANK(AD75),0,1)</f>
        <v>0</v>
      </c>
      <c r="AN75" s="14" t="s">
        <v>139</v>
      </c>
      <c r="AO75" s="87">
        <f>SUM(AM74:AM75)</f>
        <v>0</v>
      </c>
      <c r="AP75" s="14" t="s">
        <v>140</v>
      </c>
      <c r="AR75" s="60" t="s">
        <v>383</v>
      </c>
      <c r="AS75" s="87">
        <f>IF(ISBLANK(AD75),1,IF(ISTEXT(AD75)=TRUE,3,2))</f>
        <v>1</v>
      </c>
      <c r="AY75" s="20"/>
    </row>
    <row r="76" spans="1:59" ht="4.95" customHeight="1" x14ac:dyDescent="0.3">
      <c r="B76" s="1"/>
      <c r="C76" s="1"/>
      <c r="D76" s="1"/>
      <c r="E76" s="1"/>
      <c r="F76" s="1"/>
      <c r="G76" s="1"/>
      <c r="J76" s="2"/>
      <c r="K76" s="2"/>
      <c r="L76" s="2"/>
      <c r="M76" s="30"/>
      <c r="N76" s="30"/>
      <c r="O76" s="30"/>
      <c r="P76" s="30"/>
      <c r="Q76" s="30"/>
      <c r="U76" s="2"/>
      <c r="Z76" s="2"/>
      <c r="AA76" s="2"/>
      <c r="AB76" s="2"/>
      <c r="AC76" s="30"/>
      <c r="AD76" s="30"/>
      <c r="AE76" s="30"/>
      <c r="AF76" s="30"/>
      <c r="AO76" s="95"/>
      <c r="AY76" s="20"/>
    </row>
    <row r="77" spans="1:59" ht="4.95" customHeight="1" x14ac:dyDescent="0.3">
      <c r="B77" s="1"/>
      <c r="C77" s="1"/>
      <c r="D77" s="1"/>
      <c r="E77" s="1"/>
      <c r="F77" s="1"/>
      <c r="G77" s="1"/>
      <c r="J77" s="2"/>
      <c r="K77" s="2"/>
      <c r="L77" s="2"/>
      <c r="M77" s="30"/>
      <c r="N77" s="30"/>
      <c r="O77" s="30"/>
      <c r="P77" s="30"/>
      <c r="Q77" s="30"/>
      <c r="U77" s="2"/>
      <c r="Z77" s="2"/>
      <c r="AA77" s="2"/>
      <c r="AB77" s="2"/>
      <c r="AC77" s="30"/>
      <c r="AD77" s="30"/>
      <c r="AE77" s="30"/>
      <c r="AF77" s="30"/>
      <c r="AY77" s="20"/>
    </row>
    <row r="78" spans="1:59" ht="15" customHeight="1" x14ac:dyDescent="0.3">
      <c r="A78" s="227" t="s">
        <v>53</v>
      </c>
      <c r="B78" s="227"/>
      <c r="C78" s="227"/>
      <c r="D78" s="227"/>
      <c r="E78" s="227"/>
      <c r="F78" s="227"/>
      <c r="G78" s="227"/>
      <c r="H78" s="227"/>
      <c r="I78" s="227"/>
      <c r="J78" s="227"/>
      <c r="K78" s="227"/>
      <c r="L78" s="227"/>
      <c r="M78" s="227"/>
      <c r="N78" s="227"/>
      <c r="O78" s="227"/>
      <c r="P78" s="227"/>
      <c r="Q78" s="227"/>
      <c r="R78" s="227"/>
      <c r="S78" s="227"/>
      <c r="T78" s="227"/>
      <c r="U78" s="227"/>
      <c r="V78" s="227"/>
      <c r="W78" s="227"/>
      <c r="X78" s="227"/>
      <c r="Y78" s="227"/>
      <c r="Z78" s="227"/>
      <c r="AA78" s="227"/>
      <c r="AB78" s="227"/>
      <c r="AC78" s="227"/>
      <c r="AD78" s="227"/>
      <c r="AE78" s="227"/>
      <c r="AF78" s="227"/>
      <c r="AG78" s="227"/>
      <c r="AH78" s="227"/>
      <c r="AI78" s="227"/>
      <c r="AJ78" s="227"/>
      <c r="AK78" s="227"/>
      <c r="AL78" s="227"/>
      <c r="AO78" s="97"/>
    </row>
    <row r="79" spans="1:59" ht="15" customHeight="1" x14ac:dyDescent="0.3">
      <c r="B79" s="1" t="s">
        <v>51</v>
      </c>
      <c r="C79" s="1"/>
      <c r="D79" s="1"/>
      <c r="E79" s="1"/>
      <c r="F79" s="1"/>
      <c r="I79" s="24" t="s">
        <v>54</v>
      </c>
      <c r="J79" s="246">
        <f>'Form 2B.1 - Design'!W21</f>
        <v>0</v>
      </c>
      <c r="K79" s="246"/>
      <c r="L79" s="246"/>
      <c r="M79" s="177" t="s">
        <v>34</v>
      </c>
      <c r="N79" s="177"/>
      <c r="U79" s="23"/>
      <c r="V79" s="1" t="s">
        <v>52</v>
      </c>
      <c r="W79" s="1"/>
      <c r="X79" s="1"/>
      <c r="AC79" s="24" t="s">
        <v>55</v>
      </c>
      <c r="AD79" s="176"/>
      <c r="AE79" s="176"/>
      <c r="AF79" s="176"/>
      <c r="AG79" s="177" t="s">
        <v>34</v>
      </c>
      <c r="AH79" s="177"/>
      <c r="AN79" s="14" t="s">
        <v>143</v>
      </c>
      <c r="AO79" s="87">
        <f>IF(OR(AD79&gt;J79,AD79=J79),1,2)</f>
        <v>1</v>
      </c>
    </row>
    <row r="80" spans="1:59" ht="15" customHeight="1" x14ac:dyDescent="0.3">
      <c r="B80" s="1"/>
      <c r="C80" s="1"/>
      <c r="D80" s="1"/>
      <c r="E80" s="1"/>
      <c r="F80" s="1"/>
      <c r="I80" s="24" t="s">
        <v>269</v>
      </c>
      <c r="J80" s="223">
        <f>'Form 2B.1 - Design'!AC102</f>
        <v>0</v>
      </c>
      <c r="K80" s="223"/>
      <c r="L80" s="223"/>
      <c r="V80" s="1"/>
      <c r="W80" s="1"/>
      <c r="X80" s="1"/>
      <c r="AC80" s="24" t="s">
        <v>269</v>
      </c>
      <c r="AD80" s="182"/>
      <c r="AE80" s="182"/>
      <c r="AF80" s="182"/>
      <c r="AO80" s="87">
        <f>IF(OR(J79=0,ISBLANK(AD79)),2,1)</f>
        <v>2</v>
      </c>
    </row>
    <row r="81" spans="1:51" ht="4.95" customHeight="1" x14ac:dyDescent="0.3">
      <c r="B81" s="1"/>
      <c r="C81" s="1"/>
      <c r="D81" s="1"/>
      <c r="E81" s="1"/>
      <c r="F81" s="1"/>
      <c r="G81" s="1"/>
      <c r="H81" s="1"/>
      <c r="M81" s="24"/>
      <c r="N81" s="7"/>
      <c r="O81" s="7"/>
      <c r="P81" s="7"/>
      <c r="U81" s="2"/>
      <c r="V81" s="24"/>
      <c r="W81" s="29"/>
      <c r="X81" s="29"/>
      <c r="Y81" s="29"/>
      <c r="AD81" s="24"/>
      <c r="AE81" s="31"/>
      <c r="AF81" s="31"/>
      <c r="AG81" s="31"/>
      <c r="AV81" s="32"/>
      <c r="AW81" s="5"/>
      <c r="AX81" s="5"/>
      <c r="AY81" s="5"/>
    </row>
    <row r="82" spans="1:51" ht="15" customHeight="1" x14ac:dyDescent="0.3">
      <c r="A82" s="227" t="s">
        <v>357</v>
      </c>
      <c r="B82" s="227"/>
      <c r="C82" s="227"/>
      <c r="D82" s="227"/>
      <c r="E82" s="227"/>
      <c r="F82" s="227"/>
      <c r="G82" s="227"/>
      <c r="H82" s="227"/>
      <c r="I82" s="227"/>
      <c r="J82" s="227"/>
      <c r="K82" s="227"/>
      <c r="L82" s="227"/>
      <c r="M82" s="227"/>
      <c r="N82" s="227"/>
      <c r="O82" s="227"/>
      <c r="P82" s="227"/>
      <c r="Q82" s="227"/>
      <c r="R82" s="227"/>
      <c r="S82" s="227"/>
      <c r="T82" s="227"/>
      <c r="U82" s="227"/>
      <c r="V82" s="227"/>
      <c r="W82" s="227"/>
      <c r="X82" s="227"/>
      <c r="Y82" s="227"/>
      <c r="Z82" s="227"/>
      <c r="AA82" s="227"/>
      <c r="AB82" s="227"/>
      <c r="AC82" s="227"/>
      <c r="AD82" s="227"/>
      <c r="AE82" s="227"/>
      <c r="AF82" s="227"/>
      <c r="AG82" s="227"/>
      <c r="AH82" s="227"/>
      <c r="AI82" s="227"/>
      <c r="AJ82" s="227"/>
      <c r="AK82" s="227"/>
      <c r="AL82" s="227"/>
      <c r="AM82" s="89"/>
      <c r="AN82" s="91"/>
    </row>
    <row r="83" spans="1:51" ht="15" customHeight="1" x14ac:dyDescent="0.3">
      <c r="B83" s="1" t="s">
        <v>51</v>
      </c>
      <c r="C83" s="1"/>
      <c r="D83" s="1"/>
      <c r="E83" s="1"/>
      <c r="F83" s="1"/>
      <c r="H83" s="1"/>
      <c r="U83" s="23"/>
      <c r="V83" s="1" t="s">
        <v>52</v>
      </c>
      <c r="X83" s="1"/>
      <c r="Y83" s="1"/>
      <c r="AM83" s="15" t="s">
        <v>318</v>
      </c>
      <c r="AN83" s="14" t="s">
        <v>16</v>
      </c>
      <c r="AO83" s="15" t="str" cm="1">
        <f t="array" ref="AO83:AP83">'Form 2B.1 - Design'!K95:L95</f>
        <v>Units?</v>
      </c>
      <c r="AP83" s="15">
        <v>0</v>
      </c>
    </row>
    <row r="84" spans="1:51" ht="15" customHeight="1" x14ac:dyDescent="0.3">
      <c r="C84" s="4" t="s">
        <v>15</v>
      </c>
      <c r="G84" s="186" t="s">
        <v>16</v>
      </c>
      <c r="H84" s="186"/>
      <c r="I84" s="186"/>
      <c r="J84" s="186"/>
      <c r="K84" s="4"/>
      <c r="M84" s="21" t="s">
        <v>46</v>
      </c>
      <c r="U84" s="53"/>
      <c r="W84" s="4" t="s">
        <v>15</v>
      </c>
      <c r="X84" s="4"/>
      <c r="Y84" s="4"/>
      <c r="AA84" s="186" t="s">
        <v>16</v>
      </c>
      <c r="AB84" s="186"/>
      <c r="AC84" s="186"/>
      <c r="AD84" s="186"/>
      <c r="AG84" s="21" t="s">
        <v>46</v>
      </c>
      <c r="AM84" s="15">
        <f>IF(AO83="Units?",2,1)</f>
        <v>2</v>
      </c>
      <c r="AN84" s="14" t="s">
        <v>319</v>
      </c>
      <c r="AO84" s="15" t="str" cm="1">
        <f t="array" ref="AO84:AP84">'Form 2B.1 - Design'!Q95:R95</f>
        <v>Units?</v>
      </c>
      <c r="AP84" s="15">
        <v>0</v>
      </c>
    </row>
    <row r="85" spans="1:51" ht="15" customHeight="1" x14ac:dyDescent="0.3">
      <c r="B85" s="231">
        <f>'Form 2B.1 - Design'!C95</f>
        <v>0</v>
      </c>
      <c r="C85" s="231"/>
      <c r="D85" s="231"/>
      <c r="E85" s="21" t="s">
        <v>39</v>
      </c>
      <c r="G85" s="225">
        <f>'Form 2B.1 - Design'!H95</f>
        <v>0</v>
      </c>
      <c r="H85" s="225"/>
      <c r="I85" s="225"/>
      <c r="J85" s="225"/>
      <c r="K85" s="177" t="str">
        <f>$AO$83</f>
        <v>Units?</v>
      </c>
      <c r="L85" s="177"/>
      <c r="M85" s="225">
        <f>'Form 2B.1 - Design'!M95</f>
        <v>0</v>
      </c>
      <c r="N85" s="225"/>
      <c r="O85" s="225"/>
      <c r="P85" s="225"/>
      <c r="Q85" s="177" t="str">
        <f>$AO$84</f>
        <v>Units?</v>
      </c>
      <c r="R85" s="177"/>
      <c r="U85" s="53"/>
      <c r="V85" s="180"/>
      <c r="W85" s="180"/>
      <c r="X85" s="180"/>
      <c r="Y85" s="21" t="s">
        <v>39</v>
      </c>
      <c r="AA85" s="176"/>
      <c r="AB85" s="176"/>
      <c r="AC85" s="176"/>
      <c r="AD85" s="176"/>
      <c r="AE85" s="177" t="str">
        <f>$AO$83</f>
        <v>Units?</v>
      </c>
      <c r="AF85" s="177"/>
      <c r="AG85" s="176"/>
      <c r="AH85" s="176"/>
      <c r="AI85" s="176"/>
      <c r="AJ85" s="176"/>
      <c r="AK85" s="177" t="str">
        <f>$AO$84</f>
        <v>Units?</v>
      </c>
      <c r="AL85" s="177"/>
      <c r="AM85" s="87">
        <f>IF(ISBLANK(AA85),0,1)</f>
        <v>0</v>
      </c>
      <c r="AN85" s="85">
        <f>IF(ISBLANK(AG85),0,1)</f>
        <v>0</v>
      </c>
      <c r="AO85" s="87">
        <f t="shared" ref="AO85:AO98" si="2">IF(ISBLANK(V85),1,2)</f>
        <v>1</v>
      </c>
    </row>
    <row r="86" spans="1:51" ht="15" customHeight="1" x14ac:dyDescent="0.3">
      <c r="B86" s="224">
        <f>'Form 2B.1 - Design'!C96</f>
        <v>0</v>
      </c>
      <c r="C86" s="224"/>
      <c r="D86" s="224"/>
      <c r="E86" s="21" t="s">
        <v>39</v>
      </c>
      <c r="G86" s="226">
        <f>'Form 2B.1 - Design'!H96</f>
        <v>0</v>
      </c>
      <c r="H86" s="226"/>
      <c r="I86" s="226"/>
      <c r="J86" s="226"/>
      <c r="K86" s="177" t="str">
        <f t="shared" ref="K86:K98" si="3">$AO$83</f>
        <v>Units?</v>
      </c>
      <c r="L86" s="177"/>
      <c r="M86" s="225">
        <f>'Form 2B.1 - Design'!M96</f>
        <v>0</v>
      </c>
      <c r="N86" s="225"/>
      <c r="O86" s="225"/>
      <c r="P86" s="225"/>
      <c r="Q86" s="177" t="str">
        <f t="shared" ref="Q86:Q98" si="4">$AO$84</f>
        <v>Units?</v>
      </c>
      <c r="R86" s="177"/>
      <c r="U86" s="53"/>
      <c r="V86" s="182"/>
      <c r="W86" s="182"/>
      <c r="X86" s="182"/>
      <c r="Y86" s="21" t="s">
        <v>39</v>
      </c>
      <c r="AA86" s="175"/>
      <c r="AB86" s="175"/>
      <c r="AC86" s="175"/>
      <c r="AD86" s="175"/>
      <c r="AE86" s="177" t="str">
        <f t="shared" ref="AE86:AE98" si="5">$AO$83</f>
        <v>Units?</v>
      </c>
      <c r="AF86" s="177"/>
      <c r="AG86" s="175"/>
      <c r="AH86" s="175"/>
      <c r="AI86" s="175"/>
      <c r="AJ86" s="175"/>
      <c r="AK86" s="177" t="str">
        <f t="shared" ref="AK86:AK98" si="6">$AO$84</f>
        <v>Units?</v>
      </c>
      <c r="AL86" s="177"/>
      <c r="AO86" s="87">
        <f t="shared" si="2"/>
        <v>1</v>
      </c>
    </row>
    <row r="87" spans="1:51" ht="15" customHeight="1" x14ac:dyDescent="0.3">
      <c r="B87" s="224">
        <f>'Form 2B.1 - Design'!C97</f>
        <v>0</v>
      </c>
      <c r="C87" s="224"/>
      <c r="D87" s="224"/>
      <c r="E87" s="21" t="s">
        <v>39</v>
      </c>
      <c r="G87" s="226">
        <f>'Form 2B.1 - Design'!H97</f>
        <v>0</v>
      </c>
      <c r="H87" s="226"/>
      <c r="I87" s="226"/>
      <c r="J87" s="226"/>
      <c r="K87" s="177" t="str">
        <f t="shared" si="3"/>
        <v>Units?</v>
      </c>
      <c r="L87" s="177"/>
      <c r="M87" s="225">
        <f>'Form 2B.1 - Design'!M97</f>
        <v>0</v>
      </c>
      <c r="N87" s="225"/>
      <c r="O87" s="225"/>
      <c r="P87" s="225"/>
      <c r="Q87" s="177" t="str">
        <f t="shared" si="4"/>
        <v>Units?</v>
      </c>
      <c r="R87" s="177"/>
      <c r="U87" s="53"/>
      <c r="V87" s="182"/>
      <c r="W87" s="182"/>
      <c r="X87" s="182"/>
      <c r="Y87" s="21" t="s">
        <v>39</v>
      </c>
      <c r="AA87" s="175"/>
      <c r="AB87" s="175"/>
      <c r="AC87" s="175"/>
      <c r="AD87" s="175"/>
      <c r="AE87" s="177" t="str">
        <f t="shared" si="5"/>
        <v>Units?</v>
      </c>
      <c r="AF87" s="177"/>
      <c r="AG87" s="175"/>
      <c r="AH87" s="175"/>
      <c r="AI87" s="175"/>
      <c r="AJ87" s="175"/>
      <c r="AK87" s="177" t="str">
        <f t="shared" si="6"/>
        <v>Units?</v>
      </c>
      <c r="AL87" s="177"/>
      <c r="AO87" s="87">
        <f t="shared" si="2"/>
        <v>1</v>
      </c>
    </row>
    <row r="88" spans="1:51" ht="15" customHeight="1" x14ac:dyDescent="0.3">
      <c r="B88" s="224">
        <f>'Form 2B.1 - Design'!C98</f>
        <v>0</v>
      </c>
      <c r="C88" s="224"/>
      <c r="D88" s="224"/>
      <c r="E88" s="21" t="s">
        <v>39</v>
      </c>
      <c r="G88" s="226">
        <f>'Form 2B.1 - Design'!H98</f>
        <v>0</v>
      </c>
      <c r="H88" s="226"/>
      <c r="I88" s="226"/>
      <c r="J88" s="226"/>
      <c r="K88" s="177" t="str">
        <f t="shared" si="3"/>
        <v>Units?</v>
      </c>
      <c r="L88" s="177"/>
      <c r="M88" s="225">
        <f>'Form 2B.1 - Design'!M98</f>
        <v>0</v>
      </c>
      <c r="N88" s="225"/>
      <c r="O88" s="225"/>
      <c r="P88" s="225"/>
      <c r="Q88" s="177" t="str">
        <f t="shared" si="4"/>
        <v>Units?</v>
      </c>
      <c r="R88" s="177"/>
      <c r="U88" s="53"/>
      <c r="V88" s="182"/>
      <c r="W88" s="182"/>
      <c r="X88" s="182"/>
      <c r="Y88" s="21" t="s">
        <v>39</v>
      </c>
      <c r="AA88" s="175"/>
      <c r="AB88" s="175"/>
      <c r="AC88" s="175"/>
      <c r="AD88" s="175"/>
      <c r="AE88" s="177" t="str">
        <f t="shared" si="5"/>
        <v>Units?</v>
      </c>
      <c r="AF88" s="177"/>
      <c r="AG88" s="175"/>
      <c r="AH88" s="175"/>
      <c r="AI88" s="175"/>
      <c r="AJ88" s="175"/>
      <c r="AK88" s="177" t="str">
        <f t="shared" si="6"/>
        <v>Units?</v>
      </c>
      <c r="AL88" s="177"/>
      <c r="AO88" s="87">
        <f t="shared" si="2"/>
        <v>1</v>
      </c>
    </row>
    <row r="89" spans="1:51" ht="15" customHeight="1" x14ac:dyDescent="0.3">
      <c r="B89" s="224">
        <f>'Form 2B.1 - Design'!C99</f>
        <v>0</v>
      </c>
      <c r="C89" s="224"/>
      <c r="D89" s="224"/>
      <c r="E89" s="21" t="s">
        <v>39</v>
      </c>
      <c r="G89" s="226">
        <f>'Form 2B.1 - Design'!H99</f>
        <v>0</v>
      </c>
      <c r="H89" s="226"/>
      <c r="I89" s="226"/>
      <c r="J89" s="226"/>
      <c r="K89" s="177" t="str">
        <f t="shared" si="3"/>
        <v>Units?</v>
      </c>
      <c r="L89" s="177"/>
      <c r="M89" s="225">
        <f>'Form 2B.1 - Design'!M99</f>
        <v>0</v>
      </c>
      <c r="N89" s="225"/>
      <c r="O89" s="225"/>
      <c r="P89" s="225"/>
      <c r="Q89" s="177" t="str">
        <f t="shared" si="4"/>
        <v>Units?</v>
      </c>
      <c r="R89" s="177"/>
      <c r="U89" s="53"/>
      <c r="V89" s="182"/>
      <c r="W89" s="182"/>
      <c r="X89" s="182"/>
      <c r="Y89" s="21" t="s">
        <v>39</v>
      </c>
      <c r="AA89" s="175"/>
      <c r="AB89" s="175"/>
      <c r="AC89" s="175"/>
      <c r="AD89" s="175"/>
      <c r="AE89" s="177" t="str">
        <f t="shared" si="5"/>
        <v>Units?</v>
      </c>
      <c r="AF89" s="177"/>
      <c r="AG89" s="175"/>
      <c r="AH89" s="175"/>
      <c r="AI89" s="175"/>
      <c r="AJ89" s="175"/>
      <c r="AK89" s="177" t="str">
        <f t="shared" si="6"/>
        <v>Units?</v>
      </c>
      <c r="AL89" s="177"/>
      <c r="AO89" s="87">
        <f t="shared" si="2"/>
        <v>1</v>
      </c>
    </row>
    <row r="90" spans="1:51" ht="15" customHeight="1" x14ac:dyDescent="0.3">
      <c r="B90" s="224">
        <f>'Form 2B.1 - Design'!C100</f>
        <v>0</v>
      </c>
      <c r="C90" s="224"/>
      <c r="D90" s="224"/>
      <c r="E90" s="21" t="s">
        <v>39</v>
      </c>
      <c r="G90" s="226">
        <f>'Form 2B.1 - Design'!H100</f>
        <v>0</v>
      </c>
      <c r="H90" s="226"/>
      <c r="I90" s="226"/>
      <c r="J90" s="226"/>
      <c r="K90" s="177" t="str">
        <f t="shared" si="3"/>
        <v>Units?</v>
      </c>
      <c r="L90" s="177"/>
      <c r="M90" s="225">
        <f>'Form 2B.1 - Design'!M100</f>
        <v>0</v>
      </c>
      <c r="N90" s="225"/>
      <c r="O90" s="225"/>
      <c r="P90" s="225"/>
      <c r="Q90" s="177" t="str">
        <f t="shared" si="4"/>
        <v>Units?</v>
      </c>
      <c r="R90" s="177"/>
      <c r="U90" s="53"/>
      <c r="V90" s="182"/>
      <c r="W90" s="182"/>
      <c r="X90" s="182"/>
      <c r="Y90" s="21" t="s">
        <v>39</v>
      </c>
      <c r="AA90" s="175"/>
      <c r="AB90" s="175"/>
      <c r="AC90" s="175"/>
      <c r="AD90" s="175"/>
      <c r="AE90" s="177" t="str">
        <f t="shared" si="5"/>
        <v>Units?</v>
      </c>
      <c r="AF90" s="177"/>
      <c r="AG90" s="175"/>
      <c r="AH90" s="175"/>
      <c r="AI90" s="175"/>
      <c r="AJ90" s="175"/>
      <c r="AK90" s="177" t="str">
        <f t="shared" si="6"/>
        <v>Units?</v>
      </c>
      <c r="AL90" s="177"/>
      <c r="AO90" s="87">
        <f t="shared" si="2"/>
        <v>1</v>
      </c>
    </row>
    <row r="91" spans="1:51" ht="15" customHeight="1" x14ac:dyDescent="0.3">
      <c r="B91" s="224">
        <f>'Form 2B.1 - Design'!C101</f>
        <v>0</v>
      </c>
      <c r="C91" s="224"/>
      <c r="D91" s="224"/>
      <c r="E91" s="21" t="s">
        <v>39</v>
      </c>
      <c r="G91" s="226">
        <f>'Form 2B.1 - Design'!H101</f>
        <v>0</v>
      </c>
      <c r="H91" s="226"/>
      <c r="I91" s="226"/>
      <c r="J91" s="226"/>
      <c r="K91" s="177" t="str">
        <f t="shared" si="3"/>
        <v>Units?</v>
      </c>
      <c r="L91" s="177"/>
      <c r="M91" s="225">
        <f>'Form 2B.1 - Design'!M101</f>
        <v>0</v>
      </c>
      <c r="N91" s="225"/>
      <c r="O91" s="225"/>
      <c r="P91" s="225"/>
      <c r="Q91" s="177" t="str">
        <f t="shared" si="4"/>
        <v>Units?</v>
      </c>
      <c r="R91" s="177"/>
      <c r="U91" s="53"/>
      <c r="V91" s="182"/>
      <c r="W91" s="182"/>
      <c r="X91" s="182"/>
      <c r="Y91" s="21" t="s">
        <v>39</v>
      </c>
      <c r="AA91" s="175"/>
      <c r="AB91" s="175"/>
      <c r="AC91" s="175"/>
      <c r="AD91" s="175"/>
      <c r="AE91" s="177" t="str">
        <f t="shared" si="5"/>
        <v>Units?</v>
      </c>
      <c r="AF91" s="177"/>
      <c r="AG91" s="175"/>
      <c r="AH91" s="175"/>
      <c r="AI91" s="175"/>
      <c r="AJ91" s="175"/>
      <c r="AK91" s="177" t="str">
        <f t="shared" si="6"/>
        <v>Units?</v>
      </c>
      <c r="AL91" s="177"/>
      <c r="AO91" s="87">
        <f t="shared" si="2"/>
        <v>1</v>
      </c>
    </row>
    <row r="92" spans="1:51" ht="15" customHeight="1" x14ac:dyDescent="0.3">
      <c r="B92" s="224">
        <f>'Form 2B.1 - Design'!S95</f>
        <v>0</v>
      </c>
      <c r="C92" s="224"/>
      <c r="D92" s="224"/>
      <c r="E92" s="21" t="s">
        <v>39</v>
      </c>
      <c r="G92" s="226">
        <f>'Form 2B.1 - Design'!X95</f>
        <v>0</v>
      </c>
      <c r="H92" s="226"/>
      <c r="I92" s="226"/>
      <c r="J92" s="226"/>
      <c r="K92" s="177" t="str">
        <f t="shared" si="3"/>
        <v>Units?</v>
      </c>
      <c r="L92" s="177"/>
      <c r="M92" s="225">
        <f>'Form 2B.1 - Design'!AC95</f>
        <v>0</v>
      </c>
      <c r="N92" s="225"/>
      <c r="O92" s="225"/>
      <c r="P92" s="225"/>
      <c r="Q92" s="177" t="str">
        <f t="shared" si="4"/>
        <v>Units?</v>
      </c>
      <c r="R92" s="177"/>
      <c r="U92" s="53"/>
      <c r="V92" s="182"/>
      <c r="W92" s="182"/>
      <c r="X92" s="182"/>
      <c r="Y92" s="21" t="s">
        <v>39</v>
      </c>
      <c r="AA92" s="175"/>
      <c r="AB92" s="175"/>
      <c r="AC92" s="175"/>
      <c r="AD92" s="175"/>
      <c r="AE92" s="177" t="str">
        <f t="shared" si="5"/>
        <v>Units?</v>
      </c>
      <c r="AF92" s="177"/>
      <c r="AG92" s="175"/>
      <c r="AH92" s="175"/>
      <c r="AI92" s="175"/>
      <c r="AJ92" s="175"/>
      <c r="AK92" s="177" t="str">
        <f t="shared" si="6"/>
        <v>Units?</v>
      </c>
      <c r="AL92" s="177"/>
      <c r="AO92" s="87">
        <f t="shared" si="2"/>
        <v>1</v>
      </c>
    </row>
    <row r="93" spans="1:51" ht="15" customHeight="1" x14ac:dyDescent="0.3">
      <c r="B93" s="224">
        <f>'Form 2B.1 - Design'!S96</f>
        <v>0</v>
      </c>
      <c r="C93" s="224"/>
      <c r="D93" s="224"/>
      <c r="E93" s="21" t="s">
        <v>39</v>
      </c>
      <c r="G93" s="226">
        <f>'Form 2B.1 - Design'!X96</f>
        <v>0</v>
      </c>
      <c r="H93" s="226"/>
      <c r="I93" s="226"/>
      <c r="J93" s="226"/>
      <c r="K93" s="177" t="str">
        <f t="shared" si="3"/>
        <v>Units?</v>
      </c>
      <c r="L93" s="177"/>
      <c r="M93" s="225">
        <f>'Form 2B.1 - Design'!AC96</f>
        <v>0</v>
      </c>
      <c r="N93" s="225"/>
      <c r="O93" s="225"/>
      <c r="P93" s="225"/>
      <c r="Q93" s="177" t="str">
        <f t="shared" si="4"/>
        <v>Units?</v>
      </c>
      <c r="R93" s="177"/>
      <c r="U93" s="53"/>
      <c r="V93" s="182"/>
      <c r="W93" s="182"/>
      <c r="X93" s="182"/>
      <c r="Y93" s="21" t="s">
        <v>39</v>
      </c>
      <c r="AA93" s="175"/>
      <c r="AB93" s="175"/>
      <c r="AC93" s="175"/>
      <c r="AD93" s="175"/>
      <c r="AE93" s="177" t="str">
        <f t="shared" si="5"/>
        <v>Units?</v>
      </c>
      <c r="AF93" s="177"/>
      <c r="AG93" s="175"/>
      <c r="AH93" s="175"/>
      <c r="AI93" s="175"/>
      <c r="AJ93" s="175"/>
      <c r="AK93" s="177" t="str">
        <f t="shared" si="6"/>
        <v>Units?</v>
      </c>
      <c r="AL93" s="177"/>
      <c r="AO93" s="87">
        <f t="shared" si="2"/>
        <v>1</v>
      </c>
    </row>
    <row r="94" spans="1:51" ht="15" customHeight="1" x14ac:dyDescent="0.3">
      <c r="B94" s="224">
        <f>'Form 2B.1 - Design'!S97</f>
        <v>0</v>
      </c>
      <c r="C94" s="224"/>
      <c r="D94" s="224"/>
      <c r="E94" s="21" t="s">
        <v>39</v>
      </c>
      <c r="G94" s="226">
        <f>'Form 2B.1 - Design'!X97</f>
        <v>0</v>
      </c>
      <c r="H94" s="226"/>
      <c r="I94" s="226"/>
      <c r="J94" s="226"/>
      <c r="K94" s="177" t="str">
        <f t="shared" si="3"/>
        <v>Units?</v>
      </c>
      <c r="L94" s="177"/>
      <c r="M94" s="225">
        <f>'Form 2B.1 - Design'!AC97</f>
        <v>0</v>
      </c>
      <c r="N94" s="225"/>
      <c r="O94" s="225"/>
      <c r="P94" s="225"/>
      <c r="Q94" s="177" t="str">
        <f t="shared" si="4"/>
        <v>Units?</v>
      </c>
      <c r="R94" s="177"/>
      <c r="U94" s="53"/>
      <c r="V94" s="182"/>
      <c r="W94" s="182"/>
      <c r="X94" s="182"/>
      <c r="Y94" s="21" t="s">
        <v>39</v>
      </c>
      <c r="AA94" s="175"/>
      <c r="AB94" s="175"/>
      <c r="AC94" s="175"/>
      <c r="AD94" s="175"/>
      <c r="AE94" s="177" t="str">
        <f t="shared" si="5"/>
        <v>Units?</v>
      </c>
      <c r="AF94" s="177"/>
      <c r="AG94" s="175"/>
      <c r="AH94" s="175"/>
      <c r="AI94" s="175"/>
      <c r="AJ94" s="175"/>
      <c r="AK94" s="177" t="str">
        <f t="shared" si="6"/>
        <v>Units?</v>
      </c>
      <c r="AL94" s="177"/>
      <c r="AO94" s="87">
        <f t="shared" si="2"/>
        <v>1</v>
      </c>
    </row>
    <row r="95" spans="1:51" ht="15" customHeight="1" x14ac:dyDescent="0.3">
      <c r="B95" s="224">
        <f>'Form 2B.1 - Design'!S98</f>
        <v>0</v>
      </c>
      <c r="C95" s="224"/>
      <c r="D95" s="224"/>
      <c r="E95" s="21" t="s">
        <v>39</v>
      </c>
      <c r="G95" s="226">
        <f>'Form 2B.1 - Design'!X98</f>
        <v>0</v>
      </c>
      <c r="H95" s="226"/>
      <c r="I95" s="226"/>
      <c r="J95" s="226"/>
      <c r="K95" s="177" t="str">
        <f t="shared" si="3"/>
        <v>Units?</v>
      </c>
      <c r="L95" s="177"/>
      <c r="M95" s="225">
        <f>'Form 2B.1 - Design'!AC98</f>
        <v>0</v>
      </c>
      <c r="N95" s="225"/>
      <c r="O95" s="225"/>
      <c r="P95" s="225"/>
      <c r="Q95" s="177" t="str">
        <f t="shared" si="4"/>
        <v>Units?</v>
      </c>
      <c r="R95" s="177"/>
      <c r="U95" s="53"/>
      <c r="V95" s="182"/>
      <c r="W95" s="182"/>
      <c r="X95" s="182"/>
      <c r="Y95" s="21" t="s">
        <v>39</v>
      </c>
      <c r="AA95" s="175"/>
      <c r="AB95" s="175"/>
      <c r="AC95" s="175"/>
      <c r="AD95" s="175"/>
      <c r="AE95" s="177" t="str">
        <f t="shared" si="5"/>
        <v>Units?</v>
      </c>
      <c r="AF95" s="177"/>
      <c r="AG95" s="175"/>
      <c r="AH95" s="175"/>
      <c r="AI95" s="175"/>
      <c r="AJ95" s="175"/>
      <c r="AK95" s="177" t="str">
        <f t="shared" si="6"/>
        <v>Units?</v>
      </c>
      <c r="AL95" s="177"/>
      <c r="AO95" s="87">
        <f t="shared" si="2"/>
        <v>1</v>
      </c>
    </row>
    <row r="96" spans="1:51" ht="15" customHeight="1" x14ac:dyDescent="0.3">
      <c r="B96" s="224">
        <f>'Form 2B.1 - Design'!S99</f>
        <v>0</v>
      </c>
      <c r="C96" s="224"/>
      <c r="D96" s="224"/>
      <c r="E96" s="21" t="s">
        <v>39</v>
      </c>
      <c r="G96" s="226">
        <f>'Form 2B.1 - Design'!X99</f>
        <v>0</v>
      </c>
      <c r="H96" s="226"/>
      <c r="I96" s="226"/>
      <c r="J96" s="226"/>
      <c r="K96" s="177" t="str">
        <f t="shared" si="3"/>
        <v>Units?</v>
      </c>
      <c r="L96" s="177"/>
      <c r="M96" s="225">
        <f>'Form 2B.1 - Design'!AC99</f>
        <v>0</v>
      </c>
      <c r="N96" s="225"/>
      <c r="O96" s="225"/>
      <c r="P96" s="225"/>
      <c r="Q96" s="177" t="str">
        <f t="shared" si="4"/>
        <v>Units?</v>
      </c>
      <c r="R96" s="177"/>
      <c r="U96" s="53"/>
      <c r="V96" s="182"/>
      <c r="W96" s="182"/>
      <c r="X96" s="182"/>
      <c r="Y96" s="21" t="s">
        <v>39</v>
      </c>
      <c r="AA96" s="175"/>
      <c r="AB96" s="175"/>
      <c r="AC96" s="175"/>
      <c r="AD96" s="175"/>
      <c r="AE96" s="177" t="str">
        <f t="shared" si="5"/>
        <v>Units?</v>
      </c>
      <c r="AF96" s="177"/>
      <c r="AG96" s="175"/>
      <c r="AH96" s="175"/>
      <c r="AI96" s="175"/>
      <c r="AJ96" s="175"/>
      <c r="AK96" s="177" t="str">
        <f t="shared" si="6"/>
        <v>Units?</v>
      </c>
      <c r="AL96" s="177"/>
      <c r="AO96" s="87">
        <f t="shared" si="2"/>
        <v>1</v>
      </c>
    </row>
    <row r="97" spans="1:44" ht="15" customHeight="1" x14ac:dyDescent="0.3">
      <c r="B97" s="224">
        <f>'Form 2B.1 - Design'!S100</f>
        <v>0</v>
      </c>
      <c r="C97" s="224"/>
      <c r="D97" s="224"/>
      <c r="E97" s="21" t="s">
        <v>39</v>
      </c>
      <c r="G97" s="226">
        <f>'Form 2B.1 - Design'!X100</f>
        <v>0</v>
      </c>
      <c r="H97" s="226"/>
      <c r="I97" s="226"/>
      <c r="J97" s="226"/>
      <c r="K97" s="177" t="str">
        <f t="shared" si="3"/>
        <v>Units?</v>
      </c>
      <c r="L97" s="177"/>
      <c r="M97" s="225">
        <f>'Form 2B.1 - Design'!AC100</f>
        <v>0</v>
      </c>
      <c r="N97" s="225"/>
      <c r="O97" s="225"/>
      <c r="P97" s="225"/>
      <c r="Q97" s="177" t="str">
        <f t="shared" si="4"/>
        <v>Units?</v>
      </c>
      <c r="R97" s="177"/>
      <c r="U97" s="53"/>
      <c r="V97" s="182"/>
      <c r="W97" s="182"/>
      <c r="X97" s="182"/>
      <c r="Y97" s="21" t="s">
        <v>39</v>
      </c>
      <c r="AA97" s="175"/>
      <c r="AB97" s="175"/>
      <c r="AC97" s="175"/>
      <c r="AD97" s="175"/>
      <c r="AE97" s="177" t="str">
        <f t="shared" si="5"/>
        <v>Units?</v>
      </c>
      <c r="AF97" s="177"/>
      <c r="AG97" s="175"/>
      <c r="AH97" s="175"/>
      <c r="AI97" s="175"/>
      <c r="AJ97" s="175"/>
      <c r="AK97" s="177" t="str">
        <f t="shared" si="6"/>
        <v>Units?</v>
      </c>
      <c r="AL97" s="177"/>
      <c r="AO97" s="87">
        <f t="shared" si="2"/>
        <v>1</v>
      </c>
    </row>
    <row r="98" spans="1:44" ht="15" customHeight="1" x14ac:dyDescent="0.3">
      <c r="B98" s="224">
        <f>'Form 2B.1 - Design'!S101</f>
        <v>0</v>
      </c>
      <c r="C98" s="224"/>
      <c r="D98" s="224"/>
      <c r="E98" s="21" t="s">
        <v>39</v>
      </c>
      <c r="G98" s="226">
        <f>'Form 2B.1 - Design'!X101</f>
        <v>0</v>
      </c>
      <c r="H98" s="226"/>
      <c r="I98" s="226"/>
      <c r="J98" s="226"/>
      <c r="K98" s="177" t="str">
        <f t="shared" si="3"/>
        <v>Units?</v>
      </c>
      <c r="L98" s="177"/>
      <c r="M98" s="225">
        <f>'Form 2B.1 - Design'!AC101</f>
        <v>0</v>
      </c>
      <c r="N98" s="225"/>
      <c r="O98" s="225"/>
      <c r="P98" s="225"/>
      <c r="Q98" s="177" t="str">
        <f t="shared" si="4"/>
        <v>Units?</v>
      </c>
      <c r="R98" s="177"/>
      <c r="U98" s="53"/>
      <c r="V98" s="182"/>
      <c r="W98" s="182"/>
      <c r="X98" s="182"/>
      <c r="Y98" s="21" t="s">
        <v>39</v>
      </c>
      <c r="AA98" s="175"/>
      <c r="AB98" s="175"/>
      <c r="AC98" s="175"/>
      <c r="AD98" s="175"/>
      <c r="AE98" s="177" t="str">
        <f t="shared" si="5"/>
        <v>Units?</v>
      </c>
      <c r="AF98" s="177"/>
      <c r="AG98" s="175"/>
      <c r="AH98" s="175"/>
      <c r="AI98" s="175"/>
      <c r="AJ98" s="175"/>
      <c r="AK98" s="177" t="str">
        <f t="shared" si="6"/>
        <v>Units?</v>
      </c>
      <c r="AL98" s="177"/>
      <c r="AO98" s="87">
        <f t="shared" si="2"/>
        <v>1</v>
      </c>
    </row>
    <row r="99" spans="1:44" ht="4.95" customHeight="1" x14ac:dyDescent="0.3">
      <c r="H99" s="25"/>
      <c r="J99" s="31"/>
      <c r="K99" s="31"/>
      <c r="L99" s="31"/>
      <c r="N99" s="35"/>
      <c r="O99" s="35"/>
      <c r="P99" s="35"/>
      <c r="Q99" s="35"/>
      <c r="W99" s="25"/>
      <c r="X99" s="25"/>
      <c r="Y99" s="25"/>
      <c r="AA99" s="31"/>
      <c r="AB99" s="31"/>
      <c r="AC99" s="31"/>
      <c r="AE99" s="35"/>
      <c r="AF99" s="35"/>
      <c r="AG99" s="35"/>
      <c r="AH99" s="35"/>
    </row>
    <row r="100" spans="1:44" ht="15" customHeight="1" x14ac:dyDescent="0.3">
      <c r="H100" s="25"/>
      <c r="J100" s="31"/>
      <c r="K100" s="31"/>
      <c r="L100" s="31"/>
      <c r="N100" s="35"/>
      <c r="O100" s="35"/>
      <c r="P100" s="35"/>
      <c r="Q100" s="35"/>
      <c r="W100" s="25"/>
      <c r="X100" s="25"/>
      <c r="Y100" s="25"/>
      <c r="AA100" s="31"/>
      <c r="AB100" s="31"/>
      <c r="AC100" s="31"/>
      <c r="AE100" s="35"/>
      <c r="AF100" s="35"/>
      <c r="AG100" s="35"/>
      <c r="AH100" s="35"/>
    </row>
    <row r="101" spans="1:44" ht="15" customHeight="1" x14ac:dyDescent="0.3">
      <c r="H101" s="25"/>
      <c r="J101" s="31"/>
      <c r="K101" s="31"/>
      <c r="L101" s="31"/>
      <c r="N101" s="35"/>
      <c r="O101" s="35"/>
      <c r="P101" s="35"/>
      <c r="Q101" s="35"/>
      <c r="W101" s="25"/>
      <c r="X101" s="25"/>
      <c r="Y101" s="25"/>
      <c r="AA101" s="31"/>
      <c r="AB101" s="31"/>
      <c r="AC101" s="31"/>
      <c r="AE101" s="35"/>
      <c r="AF101" s="35"/>
      <c r="AG101" s="35"/>
      <c r="AH101" s="35"/>
    </row>
    <row r="102" spans="1:44" ht="15" customHeight="1" x14ac:dyDescent="0.3">
      <c r="H102" s="25"/>
      <c r="J102" s="31"/>
      <c r="K102" s="31"/>
      <c r="L102" s="31"/>
      <c r="N102" s="35"/>
      <c r="O102" s="35"/>
      <c r="P102" s="35"/>
      <c r="Q102" s="35"/>
      <c r="W102" s="25"/>
      <c r="X102" s="25"/>
      <c r="Y102" s="25"/>
      <c r="AA102" s="31"/>
      <c r="AB102" s="31"/>
      <c r="AC102" s="31"/>
      <c r="AE102" s="35"/>
      <c r="AF102" s="35"/>
      <c r="AG102" s="35"/>
      <c r="AH102" s="35"/>
    </row>
    <row r="103" spans="1:44" ht="15" customHeight="1" x14ac:dyDescent="0.3">
      <c r="H103" s="25"/>
      <c r="J103" s="31"/>
      <c r="K103" s="31"/>
      <c r="L103" s="31"/>
      <c r="N103" s="35"/>
      <c r="O103" s="35"/>
      <c r="P103" s="35"/>
      <c r="Q103" s="35"/>
      <c r="W103" s="25"/>
      <c r="X103" s="25"/>
      <c r="Y103" s="25"/>
      <c r="AA103" s="31"/>
      <c r="AB103" s="31"/>
      <c r="AC103" s="31"/>
      <c r="AE103" s="35"/>
      <c r="AF103" s="35"/>
      <c r="AG103" s="35"/>
      <c r="AH103" s="35"/>
    </row>
    <row r="104" spans="1:44" ht="15" customHeight="1" x14ac:dyDescent="0.3">
      <c r="H104" s="25"/>
      <c r="J104" s="31"/>
      <c r="K104" s="31"/>
      <c r="L104" s="31"/>
      <c r="N104" s="35"/>
      <c r="O104" s="35"/>
      <c r="P104" s="35"/>
      <c r="Q104" s="35"/>
      <c r="W104" s="25"/>
      <c r="X104" s="25"/>
      <c r="Y104" s="25"/>
      <c r="AA104" s="31"/>
      <c r="AB104" s="31"/>
      <c r="AC104" s="31"/>
      <c r="AE104" s="35"/>
      <c r="AF104" s="35"/>
      <c r="AG104" s="35"/>
      <c r="AH104" s="35"/>
    </row>
    <row r="105" spans="1:44" ht="15" customHeight="1" x14ac:dyDescent="0.3">
      <c r="AK105" s="25"/>
    </row>
    <row r="106" spans="1:44" ht="15" customHeight="1" x14ac:dyDescent="0.3">
      <c r="B106" s="200">
        <f>Tables!$F$13</f>
        <v>46266</v>
      </c>
      <c r="C106" s="200"/>
      <c r="D106" s="200"/>
      <c r="E106" s="200"/>
      <c r="F106" s="200"/>
      <c r="G106" s="200"/>
      <c r="H106" s="200"/>
      <c r="R106" s="186" t="s">
        <v>407</v>
      </c>
      <c r="S106" s="186"/>
      <c r="T106" s="186"/>
      <c r="U106" s="186"/>
      <c r="AK106" s="25"/>
    </row>
    <row r="107" spans="1:44" ht="15" customHeight="1" x14ac:dyDescent="0.3">
      <c r="C107" s="2" t="s">
        <v>1</v>
      </c>
      <c r="D107" s="199">
        <f>IF(ISBLANK($E$7),"",$E$7)</f>
        <v>0</v>
      </c>
      <c r="E107" s="199"/>
      <c r="F107" s="199"/>
      <c r="G107" s="199"/>
      <c r="H107" s="199"/>
      <c r="I107" s="199"/>
      <c r="J107" s="199"/>
      <c r="K107" s="199"/>
      <c r="L107" s="199"/>
      <c r="M107" s="199"/>
      <c r="N107" s="199"/>
      <c r="O107" s="199"/>
      <c r="P107" s="199"/>
      <c r="Q107" s="199"/>
      <c r="R107" s="199"/>
      <c r="S107" s="199"/>
      <c r="T107" s="199"/>
      <c r="U107" s="199"/>
      <c r="V107" s="199"/>
      <c r="W107" s="199"/>
      <c r="X107" s="199"/>
      <c r="Y107" s="199"/>
      <c r="Z107" s="199"/>
      <c r="AA107" s="33"/>
      <c r="AB107" s="33"/>
      <c r="AC107" s="33"/>
      <c r="AF107" s="2" t="s">
        <v>19</v>
      </c>
      <c r="AG107" s="179">
        <f>$AF$7</f>
        <v>0</v>
      </c>
      <c r="AH107" s="179"/>
      <c r="AI107" s="179"/>
      <c r="AJ107" s="179"/>
      <c r="AK107" s="179"/>
    </row>
    <row r="108" spans="1:44" ht="15" customHeight="1" x14ac:dyDescent="0.3">
      <c r="H108" s="34"/>
      <c r="I108" s="34"/>
      <c r="J108" s="2"/>
      <c r="K108" s="2"/>
      <c r="L108" s="2"/>
      <c r="M108" s="34"/>
      <c r="N108" s="33"/>
      <c r="O108" s="33"/>
      <c r="P108" s="33"/>
      <c r="Q108" s="33"/>
      <c r="R108" s="33"/>
      <c r="S108" s="33"/>
      <c r="T108" s="33"/>
      <c r="U108" s="33"/>
      <c r="V108" s="33"/>
      <c r="W108" s="33"/>
      <c r="X108" s="33"/>
      <c r="Y108" s="33"/>
      <c r="Z108" s="33"/>
      <c r="AA108" s="33"/>
      <c r="AB108" s="33"/>
      <c r="AC108" s="33"/>
      <c r="AF108" s="2" t="s">
        <v>32</v>
      </c>
      <c r="AG108" s="229">
        <f>IF(ISBLANK($AF$8),"",$AF$8)</f>
        <v>0</v>
      </c>
      <c r="AH108" s="229"/>
      <c r="AI108" s="229"/>
      <c r="AJ108" s="229"/>
      <c r="AK108" s="229"/>
    </row>
    <row r="109" spans="1:44" ht="4.95" customHeight="1" x14ac:dyDescent="0.3">
      <c r="H109" s="25"/>
      <c r="J109" s="31"/>
      <c r="K109" s="31"/>
      <c r="L109" s="31"/>
      <c r="N109" s="35"/>
      <c r="O109" s="35"/>
      <c r="P109" s="35"/>
      <c r="Q109" s="35"/>
      <c r="W109" s="25"/>
      <c r="X109" s="25"/>
      <c r="Y109" s="25"/>
      <c r="AA109" s="31"/>
      <c r="AB109" s="31"/>
      <c r="AC109" s="31"/>
      <c r="AE109" s="35"/>
      <c r="AF109" s="35"/>
      <c r="AG109" s="35"/>
      <c r="AH109" s="35"/>
    </row>
    <row r="110" spans="1:44" ht="15" customHeight="1" x14ac:dyDescent="0.3">
      <c r="A110" s="227" t="s">
        <v>358</v>
      </c>
      <c r="B110" s="227"/>
      <c r="C110" s="227"/>
      <c r="D110" s="227"/>
      <c r="E110" s="227"/>
      <c r="F110" s="227"/>
      <c r="G110" s="227"/>
      <c r="H110" s="227"/>
      <c r="I110" s="227"/>
      <c r="J110" s="227"/>
      <c r="K110" s="227"/>
      <c r="L110" s="227"/>
      <c r="M110" s="227"/>
      <c r="N110" s="227"/>
      <c r="O110" s="227"/>
      <c r="P110" s="227"/>
      <c r="Q110" s="227"/>
      <c r="R110" s="227"/>
      <c r="S110" s="227"/>
      <c r="T110" s="227"/>
      <c r="U110" s="227"/>
      <c r="V110" s="227"/>
      <c r="W110" s="227"/>
      <c r="X110" s="227"/>
      <c r="Y110" s="227"/>
      <c r="Z110" s="227"/>
      <c r="AA110" s="227"/>
      <c r="AB110" s="227"/>
      <c r="AC110" s="227"/>
      <c r="AD110" s="227"/>
      <c r="AE110" s="227"/>
      <c r="AF110" s="227"/>
      <c r="AG110" s="227"/>
      <c r="AH110" s="227"/>
      <c r="AI110" s="227"/>
      <c r="AJ110" s="227"/>
      <c r="AK110" s="227"/>
      <c r="AL110" s="227"/>
      <c r="AM110" s="89"/>
      <c r="AN110" s="91"/>
      <c r="AP110" s="86">
        <f>Tables!F26</f>
        <v>6</v>
      </c>
      <c r="AQ110" s="96" t="s">
        <v>275</v>
      </c>
      <c r="AR110" s="96"/>
    </row>
    <row r="111" spans="1:44" ht="30" customHeight="1" x14ac:dyDescent="0.3">
      <c r="B111" s="1" t="s">
        <v>51</v>
      </c>
      <c r="I111" s="221" t="s">
        <v>119</v>
      </c>
      <c r="J111" s="221"/>
      <c r="K111" s="221"/>
      <c r="L111" s="120"/>
      <c r="M111" s="221" t="s">
        <v>120</v>
      </c>
      <c r="N111" s="221"/>
      <c r="O111" s="221"/>
      <c r="Q111" s="221" t="s">
        <v>121</v>
      </c>
      <c r="R111" s="221"/>
      <c r="S111" s="221"/>
      <c r="U111" s="221" t="s">
        <v>261</v>
      </c>
      <c r="V111" s="221"/>
      <c r="W111" s="221"/>
      <c r="Y111" s="221" t="s">
        <v>394</v>
      </c>
      <c r="Z111" s="221"/>
      <c r="AA111" s="221"/>
      <c r="AB111" s="221"/>
      <c r="AD111" s="221" t="s">
        <v>395</v>
      </c>
      <c r="AE111" s="221"/>
      <c r="AF111" s="221"/>
      <c r="AH111" s="221" t="s">
        <v>122</v>
      </c>
      <c r="AI111" s="221"/>
      <c r="AJ111" s="221"/>
      <c r="AK111" s="221"/>
      <c r="AM111" s="14" t="s">
        <v>341</v>
      </c>
      <c r="AN111" s="14" t="s">
        <v>337</v>
      </c>
      <c r="AO111" s="15" t="s">
        <v>362</v>
      </c>
    </row>
    <row r="112" spans="1:44" ht="15" customHeight="1" x14ac:dyDescent="0.3">
      <c r="C112" s="184">
        <f>Tables!$F$16</f>
        <v>6.02</v>
      </c>
      <c r="D112" s="184"/>
      <c r="G112" s="2" t="str">
        <f>Tables!$D$16</f>
        <v>(2-yr)</v>
      </c>
      <c r="I112" s="215">
        <f>'Form 2B.1 - Design'!I109</f>
        <v>0</v>
      </c>
      <c r="J112" s="215"/>
      <c r="K112" s="215"/>
      <c r="L112" s="6"/>
      <c r="M112" s="219">
        <f>'Form 2B.1 - Design'!M109</f>
        <v>0</v>
      </c>
      <c r="N112" s="219"/>
      <c r="O112" s="219"/>
      <c r="Q112" s="219">
        <f>'Form 2B.1 - Design'!Q109</f>
        <v>0</v>
      </c>
      <c r="R112" s="219"/>
      <c r="S112" s="219"/>
      <c r="U112" s="219">
        <f>'Form 2B.1 - Design'!U109</f>
        <v>0</v>
      </c>
      <c r="V112" s="219"/>
      <c r="W112" s="219"/>
      <c r="Y112" s="219">
        <f>'Form 2B.1 - Design'!Y109</f>
        <v>0</v>
      </c>
      <c r="Z112" s="219"/>
      <c r="AA112" s="219"/>
      <c r="AB112" s="219"/>
      <c r="AH112" s="219">
        <f>'Form 2B.1 - Design'!AG109</f>
        <v>0</v>
      </c>
      <c r="AI112" s="219"/>
      <c r="AJ112" s="219"/>
      <c r="AK112" s="219"/>
      <c r="AM112" s="87">
        <f t="shared" ref="AM112:AM117" si="7">IF(AH112&gt;I112,1,0)</f>
        <v>0</v>
      </c>
      <c r="AN112" s="87">
        <f>IF(OR($AR$113=0,$AR$115=2),0,IF($AH112&gt;$AR$113,1,0))</f>
        <v>0</v>
      </c>
      <c r="AO112" s="87">
        <f>IF(OR($AR$114=0,$AR$115=2),0,IF($AH112&gt;$AR$114,1,0))</f>
        <v>0</v>
      </c>
      <c r="AQ112" s="15" t="s">
        <v>363</v>
      </c>
      <c r="AR112" s="15" t="s">
        <v>144</v>
      </c>
    </row>
    <row r="113" spans="2:46" ht="15" customHeight="1" x14ac:dyDescent="0.3">
      <c r="C113" s="184">
        <f>Tables!$F$17</f>
        <v>7.68</v>
      </c>
      <c r="D113" s="184"/>
      <c r="G113" s="2" t="str">
        <f>Tables!$D$17</f>
        <v>(5-yr)</v>
      </c>
      <c r="I113" s="223">
        <f>'Form 2B.1 - Design'!I110</f>
        <v>0</v>
      </c>
      <c r="J113" s="223"/>
      <c r="K113" s="223"/>
      <c r="L113" s="6"/>
      <c r="M113" s="222">
        <f>'Form 2B.1 - Design'!M110</f>
        <v>0</v>
      </c>
      <c r="N113" s="222"/>
      <c r="O113" s="222"/>
      <c r="Q113" s="222">
        <f>'Form 2B.1 - Design'!Q110</f>
        <v>0</v>
      </c>
      <c r="R113" s="222"/>
      <c r="S113" s="222"/>
      <c r="U113" s="222">
        <f>'Form 2B.1 - Design'!U110</f>
        <v>0</v>
      </c>
      <c r="V113" s="222"/>
      <c r="W113" s="222"/>
      <c r="Y113" s="219">
        <f>'Form 2B.1 - Design'!Y110</f>
        <v>0</v>
      </c>
      <c r="Z113" s="219"/>
      <c r="AA113" s="219"/>
      <c r="AB113" s="219"/>
      <c r="AH113" s="222">
        <f>'Form 2B.1 - Design'!AG110</f>
        <v>0</v>
      </c>
      <c r="AI113" s="222"/>
      <c r="AJ113" s="222"/>
      <c r="AK113" s="222"/>
      <c r="AM113" s="87">
        <f t="shared" si="7"/>
        <v>0</v>
      </c>
      <c r="AN113" s="87">
        <f t="shared" ref="AN113:AN117" si="8">IF(OR($AR$113=0,$AR$115=2),0,IF($AH113&gt;$AR$113,1,0))</f>
        <v>0</v>
      </c>
      <c r="AO113" s="87">
        <f t="shared" ref="AO113:AO117" si="9">IF(OR($AR$114=0,$AR$115=2),0,IF($AH113&gt;$AR$114,1,0))</f>
        <v>0</v>
      </c>
      <c r="AP113" s="109">
        <f>IF(AQ113="Yes",'Form 2B.1 - Design'!AM125,1)</f>
        <v>1</v>
      </c>
      <c r="AQ113" s="87" t="str">
        <f>'Form 2B.1 - Design'!AO125</f>
        <v>No</v>
      </c>
      <c r="AR113" s="92">
        <f>'Form 2B.1 - Design'!AN125</f>
        <v>0</v>
      </c>
      <c r="AS113" s="96" t="s">
        <v>337</v>
      </c>
      <c r="AT113" s="96"/>
    </row>
    <row r="114" spans="2:46" ht="15" customHeight="1" x14ac:dyDescent="0.3">
      <c r="C114" s="184">
        <f>Tables!$F$18</f>
        <v>9.26</v>
      </c>
      <c r="D114" s="184"/>
      <c r="G114" s="2" t="str">
        <f>Tables!$D$18</f>
        <v>(10-yr)</v>
      </c>
      <c r="I114" s="223">
        <f>'Form 2B.1 - Design'!I111</f>
        <v>0</v>
      </c>
      <c r="J114" s="223"/>
      <c r="K114" s="223"/>
      <c r="L114" s="6"/>
      <c r="M114" s="222">
        <f>'Form 2B.1 - Design'!M111</f>
        <v>0</v>
      </c>
      <c r="N114" s="222"/>
      <c r="O114" s="222"/>
      <c r="Q114" s="222">
        <f>'Form 2B.1 - Design'!Q111</f>
        <v>0</v>
      </c>
      <c r="R114" s="222"/>
      <c r="S114" s="222"/>
      <c r="U114" s="222">
        <f>'Form 2B.1 - Design'!U111</f>
        <v>0</v>
      </c>
      <c r="V114" s="222"/>
      <c r="W114" s="222"/>
      <c r="Y114" s="219">
        <f>'Form 2B.1 - Design'!Y111</f>
        <v>0</v>
      </c>
      <c r="Z114" s="219"/>
      <c r="AA114" s="219"/>
      <c r="AB114" s="219"/>
      <c r="AH114" s="222">
        <f>'Form 2B.1 - Design'!AG111</f>
        <v>0</v>
      </c>
      <c r="AI114" s="222"/>
      <c r="AJ114" s="222"/>
      <c r="AK114" s="222"/>
      <c r="AM114" s="87">
        <f t="shared" si="7"/>
        <v>0</v>
      </c>
      <c r="AN114" s="87">
        <f t="shared" si="8"/>
        <v>0</v>
      </c>
      <c r="AO114" s="87">
        <f t="shared" si="9"/>
        <v>0</v>
      </c>
      <c r="AP114" s="109">
        <f>IF(AQ114="Yes",'Form 2B.1 - Design'!AM127,1)</f>
        <v>1</v>
      </c>
      <c r="AQ114" s="87" t="str">
        <f>'Form 2B.1 - Design'!AO127</f>
        <v>No</v>
      </c>
      <c r="AR114" s="92">
        <f>'Form 2B.1 - Design'!AN127</f>
        <v>0</v>
      </c>
      <c r="AS114" s="96" t="s">
        <v>344</v>
      </c>
      <c r="AT114" s="96"/>
    </row>
    <row r="115" spans="2:46" ht="15" customHeight="1" x14ac:dyDescent="0.3">
      <c r="C115" s="184">
        <f>Tables!$F$19</f>
        <v>11.7</v>
      </c>
      <c r="D115" s="184"/>
      <c r="G115" s="2" t="str">
        <f>Tables!$D$19</f>
        <v>(25-yr)</v>
      </c>
      <c r="I115" s="223">
        <f>'Form 2B.1 - Design'!I112</f>
        <v>0</v>
      </c>
      <c r="J115" s="223"/>
      <c r="K115" s="223"/>
      <c r="L115" s="6"/>
      <c r="M115" s="222">
        <f>'Form 2B.1 - Design'!M112</f>
        <v>0</v>
      </c>
      <c r="N115" s="222"/>
      <c r="O115" s="222"/>
      <c r="Q115" s="222">
        <f>'Form 2B.1 - Design'!Q112</f>
        <v>0</v>
      </c>
      <c r="R115" s="222"/>
      <c r="S115" s="222"/>
      <c r="U115" s="222">
        <f>'Form 2B.1 - Design'!U112</f>
        <v>0</v>
      </c>
      <c r="V115" s="222"/>
      <c r="W115" s="222"/>
      <c r="Y115" s="219">
        <f>'Form 2B.1 - Design'!Y112</f>
        <v>0</v>
      </c>
      <c r="Z115" s="219"/>
      <c r="AA115" s="219"/>
      <c r="AB115" s="219"/>
      <c r="AH115" s="222">
        <f>'Form 2B.1 - Design'!AG112</f>
        <v>0</v>
      </c>
      <c r="AI115" s="222"/>
      <c r="AJ115" s="222"/>
      <c r="AK115" s="222"/>
      <c r="AM115" s="87">
        <f t="shared" si="7"/>
        <v>0</v>
      </c>
      <c r="AN115" s="87">
        <f t="shared" si="8"/>
        <v>0</v>
      </c>
      <c r="AO115" s="87">
        <f t="shared" si="9"/>
        <v>0</v>
      </c>
      <c r="AR115" s="87">
        <f>'Form 2B.1 - Design'!AN143</f>
        <v>1</v>
      </c>
      <c r="AS115" s="14" t="s">
        <v>400</v>
      </c>
      <c r="AT115" s="14"/>
    </row>
    <row r="116" spans="2:46" ht="15" customHeight="1" x14ac:dyDescent="0.3">
      <c r="C116" s="184">
        <f>Tables!$F$20</f>
        <v>13.9</v>
      </c>
      <c r="D116" s="184"/>
      <c r="G116" s="2" t="str">
        <f>Tables!$D$20</f>
        <v>(50-yr)</v>
      </c>
      <c r="I116" s="223">
        <f>'Form 2B.1 - Design'!I113</f>
        <v>0</v>
      </c>
      <c r="J116" s="223"/>
      <c r="K116" s="223"/>
      <c r="L116" s="6"/>
      <c r="M116" s="222">
        <f>'Form 2B.1 - Design'!M113</f>
        <v>0</v>
      </c>
      <c r="N116" s="222"/>
      <c r="O116" s="222"/>
      <c r="Q116" s="222">
        <f>'Form 2B.1 - Design'!Q113</f>
        <v>0</v>
      </c>
      <c r="R116" s="222"/>
      <c r="S116" s="222"/>
      <c r="U116" s="222">
        <f>'Form 2B.1 - Design'!U113</f>
        <v>0</v>
      </c>
      <c r="V116" s="222"/>
      <c r="W116" s="222"/>
      <c r="Y116" s="219">
        <f>'Form 2B.1 - Design'!Y113</f>
        <v>0</v>
      </c>
      <c r="Z116" s="219"/>
      <c r="AA116" s="219"/>
      <c r="AB116" s="219"/>
      <c r="AH116" s="222">
        <f>'Form 2B.1 - Design'!AG113</f>
        <v>0</v>
      </c>
      <c r="AI116" s="222"/>
      <c r="AJ116" s="222"/>
      <c r="AK116" s="222"/>
      <c r="AM116" s="87">
        <f t="shared" si="7"/>
        <v>0</v>
      </c>
      <c r="AN116" s="87">
        <f t="shared" si="8"/>
        <v>0</v>
      </c>
      <c r="AO116" s="87">
        <f t="shared" si="9"/>
        <v>0</v>
      </c>
    </row>
    <row r="117" spans="2:46" ht="15" customHeight="1" x14ac:dyDescent="0.3">
      <c r="C117" s="184">
        <f>Tables!$F$21</f>
        <v>16.3</v>
      </c>
      <c r="D117" s="184"/>
      <c r="G117" s="2" t="str">
        <f>Tables!$D$21</f>
        <v>(100-yr)</v>
      </c>
      <c r="I117" s="223">
        <f>'Form 2B.1 - Design'!I114</f>
        <v>0</v>
      </c>
      <c r="J117" s="223"/>
      <c r="K117" s="223"/>
      <c r="L117" s="6"/>
      <c r="M117" s="222">
        <f>'Form 2B.1 - Design'!M114</f>
        <v>0</v>
      </c>
      <c r="N117" s="222"/>
      <c r="O117" s="222"/>
      <c r="Q117" s="222">
        <f>'Form 2B.1 - Design'!Q114</f>
        <v>0</v>
      </c>
      <c r="R117" s="222"/>
      <c r="S117" s="222"/>
      <c r="U117" s="222">
        <f>'Form 2B.1 - Design'!U114</f>
        <v>0</v>
      </c>
      <c r="V117" s="222"/>
      <c r="W117" s="222"/>
      <c r="Y117" s="219">
        <f>'Form 2B.1 - Design'!Y114</f>
        <v>0</v>
      </c>
      <c r="Z117" s="219"/>
      <c r="AA117" s="219"/>
      <c r="AB117" s="219"/>
      <c r="AD117" s="219">
        <f>'Form 2B.1 - Design'!AC114</f>
        <v>0</v>
      </c>
      <c r="AE117" s="219"/>
      <c r="AF117" s="219"/>
      <c r="AH117" s="222">
        <f>'Form 2B.1 - Design'!AG114</f>
        <v>0</v>
      </c>
      <c r="AI117" s="222"/>
      <c r="AJ117" s="222"/>
      <c r="AK117" s="222"/>
      <c r="AM117" s="87">
        <f t="shared" si="7"/>
        <v>0</v>
      </c>
      <c r="AN117" s="87">
        <f t="shared" si="8"/>
        <v>0</v>
      </c>
      <c r="AO117" s="87">
        <f t="shared" si="9"/>
        <v>0</v>
      </c>
    </row>
    <row r="118" spans="2:46" ht="4.95" customHeight="1" x14ac:dyDescent="0.3">
      <c r="I118" s="2"/>
      <c r="J118" s="2"/>
      <c r="K118" s="2"/>
      <c r="M118" s="6"/>
      <c r="N118" s="6"/>
      <c r="O118" s="6"/>
      <c r="Q118" s="33"/>
      <c r="R118" s="33"/>
      <c r="S118" s="33"/>
      <c r="V118" s="33"/>
      <c r="W118" s="33"/>
      <c r="Z118" s="33"/>
      <c r="AA118" s="33"/>
      <c r="AE118" s="33"/>
      <c r="AF118" s="33"/>
      <c r="AI118" s="33"/>
      <c r="AJ118" s="33"/>
      <c r="AK118" s="33"/>
    </row>
    <row r="119" spans="2:46" ht="30" customHeight="1" x14ac:dyDescent="0.3">
      <c r="B119" s="1" t="s">
        <v>52</v>
      </c>
      <c r="I119" s="221" t="s">
        <v>119</v>
      </c>
      <c r="J119" s="221"/>
      <c r="K119" s="221"/>
      <c r="L119" s="120"/>
      <c r="M119" s="221" t="s">
        <v>120</v>
      </c>
      <c r="N119" s="221"/>
      <c r="O119" s="221"/>
      <c r="Q119" s="221" t="s">
        <v>121</v>
      </c>
      <c r="R119" s="221"/>
      <c r="S119" s="221"/>
      <c r="U119" s="221" t="s">
        <v>261</v>
      </c>
      <c r="V119" s="221"/>
      <c r="W119" s="221"/>
      <c r="Y119" s="221" t="s">
        <v>394</v>
      </c>
      <c r="Z119" s="221"/>
      <c r="AA119" s="221"/>
      <c r="AB119" s="221"/>
      <c r="AD119" s="221" t="s">
        <v>395</v>
      </c>
      <c r="AE119" s="221"/>
      <c r="AF119" s="221"/>
      <c r="AH119" s="221" t="s">
        <v>122</v>
      </c>
      <c r="AI119" s="221"/>
      <c r="AJ119" s="221"/>
      <c r="AK119" s="221"/>
      <c r="AM119" s="87">
        <f>SUM(AM120:AM125)</f>
        <v>6</v>
      </c>
      <c r="AN119" s="87">
        <f>SUM(AN120:AN125)</f>
        <v>6</v>
      </c>
      <c r="AO119" s="87">
        <f>SUM(AO120:AO124)</f>
        <v>5</v>
      </c>
      <c r="AP119" s="87">
        <f>AP125</f>
        <v>1</v>
      </c>
      <c r="AQ119" s="87">
        <f>SUM(AQ120:AQ125)</f>
        <v>0</v>
      </c>
      <c r="AR119" s="87">
        <f>SUM(AR120:AR125)</f>
        <v>0</v>
      </c>
      <c r="AS119" s="87">
        <f>SUM(AS120:AS125)</f>
        <v>6</v>
      </c>
      <c r="AT119" s="87">
        <f>SUM(AT120:AT125)</f>
        <v>6</v>
      </c>
    </row>
    <row r="120" spans="2:46" ht="15" customHeight="1" x14ac:dyDescent="0.3">
      <c r="C120" s="184">
        <f>Tables!$F$16</f>
        <v>6.02</v>
      </c>
      <c r="D120" s="184"/>
      <c r="G120" s="2" t="str">
        <f>Tables!$D$16</f>
        <v>(2-yr)</v>
      </c>
      <c r="I120" s="183"/>
      <c r="J120" s="183"/>
      <c r="K120" s="183"/>
      <c r="L120" s="33"/>
      <c r="M120" s="183"/>
      <c r="N120" s="183"/>
      <c r="O120" s="183"/>
      <c r="Q120" s="183"/>
      <c r="R120" s="183"/>
      <c r="S120" s="183"/>
      <c r="U120" s="183"/>
      <c r="V120" s="183"/>
      <c r="W120" s="183"/>
      <c r="Y120" s="183"/>
      <c r="Z120" s="183"/>
      <c r="AA120" s="183"/>
      <c r="AB120" s="183"/>
      <c r="AH120" s="183"/>
      <c r="AI120" s="183"/>
      <c r="AJ120" s="183"/>
      <c r="AK120" s="183"/>
      <c r="AM120" s="87">
        <f t="shared" ref="AM120:AM125" si="10">IF(ISBLANK(I120),1,IF(I120=I112,0,1))</f>
        <v>1</v>
      </c>
      <c r="AN120" s="87">
        <f t="shared" ref="AN120:AN125" si="11">IF(ISBLANK(M120),1,IF(M120=M112,0,1))</f>
        <v>1</v>
      </c>
      <c r="AO120" s="87">
        <f>IF(OR(ISBLANK(U120),ISBLANK(Y$71)),1,IF(U120&gt;Y$71,1,0))</f>
        <v>1</v>
      </c>
      <c r="AP120" s="122"/>
      <c r="AQ120" s="87">
        <f>IF(OR($AR$113=0,$AR$115=2),0,IF($AH120&gt;$AR$113,1,0))</f>
        <v>0</v>
      </c>
      <c r="AR120" s="87">
        <f>IF(OR($AR$114=0,$AR$115=2),0,IF($AH120&gt;$AR$114,1,0))</f>
        <v>0</v>
      </c>
      <c r="AS120" s="87">
        <f t="shared" ref="AS120:AS125" si="12">IF(OR(ISBLANK(AH120),ISBLANK(I120)),1,IF(AH120&gt;I120,1,0))</f>
        <v>1</v>
      </c>
      <c r="AT120" s="87">
        <f t="shared" ref="AT120:AT125" si="13">IF(ISBLANK(Y120),1,IF(Y120&gt;$AP$110,1,0))</f>
        <v>1</v>
      </c>
    </row>
    <row r="121" spans="2:46" ht="15" customHeight="1" x14ac:dyDescent="0.3">
      <c r="C121" s="184">
        <f>Tables!$F$17</f>
        <v>7.68</v>
      </c>
      <c r="D121" s="184"/>
      <c r="G121" s="2" t="str">
        <f>Tables!$D$17</f>
        <v>(5-yr)</v>
      </c>
      <c r="I121" s="178"/>
      <c r="J121" s="178"/>
      <c r="K121" s="178"/>
      <c r="L121" s="33"/>
      <c r="M121" s="178"/>
      <c r="N121" s="178"/>
      <c r="O121" s="178"/>
      <c r="Q121" s="178"/>
      <c r="R121" s="178"/>
      <c r="S121" s="178"/>
      <c r="U121" s="178"/>
      <c r="V121" s="178"/>
      <c r="W121" s="178"/>
      <c r="Y121" s="183"/>
      <c r="Z121" s="183"/>
      <c r="AA121" s="183"/>
      <c r="AB121" s="183"/>
      <c r="AH121" s="178"/>
      <c r="AI121" s="178"/>
      <c r="AJ121" s="178"/>
      <c r="AK121" s="178"/>
      <c r="AM121" s="87">
        <f t="shared" si="10"/>
        <v>1</v>
      </c>
      <c r="AN121" s="87">
        <f t="shared" si="11"/>
        <v>1</v>
      </c>
      <c r="AO121" s="87">
        <f>IF(OR(ISBLANK(U121),ISBLANK(Y$71)),1,IF(U121&gt;Y$71,1,0))</f>
        <v>1</v>
      </c>
      <c r="AP121" s="164"/>
      <c r="AQ121" s="87">
        <f t="shared" ref="AQ121:AQ125" si="14">IF(OR($AR$113=0,$AR$115=2),0,IF($AH121&gt;$AR$113,1,0))</f>
        <v>0</v>
      </c>
      <c r="AR121" s="87">
        <f t="shared" ref="AR121:AR125" si="15">IF(OR($AR$114=0,$AR$115=2),0,IF($AH121&gt;$AR$114,1,0))</f>
        <v>0</v>
      </c>
      <c r="AS121" s="87">
        <f t="shared" si="12"/>
        <v>1</v>
      </c>
      <c r="AT121" s="87">
        <f t="shared" si="13"/>
        <v>1</v>
      </c>
    </row>
    <row r="122" spans="2:46" ht="15" customHeight="1" x14ac:dyDescent="0.3">
      <c r="C122" s="184">
        <f>Tables!$F$18</f>
        <v>9.26</v>
      </c>
      <c r="D122" s="184"/>
      <c r="G122" s="2" t="str">
        <f>Tables!$D$18</f>
        <v>(10-yr)</v>
      </c>
      <c r="I122" s="178"/>
      <c r="J122" s="178"/>
      <c r="K122" s="178"/>
      <c r="L122" s="33"/>
      <c r="M122" s="178"/>
      <c r="N122" s="178"/>
      <c r="O122" s="178"/>
      <c r="Q122" s="178"/>
      <c r="R122" s="178"/>
      <c r="S122" s="178"/>
      <c r="U122" s="178"/>
      <c r="V122" s="178"/>
      <c r="W122" s="178"/>
      <c r="Y122" s="183"/>
      <c r="Z122" s="183"/>
      <c r="AA122" s="183"/>
      <c r="AB122" s="183"/>
      <c r="AH122" s="178"/>
      <c r="AI122" s="178"/>
      <c r="AJ122" s="178"/>
      <c r="AK122" s="178"/>
      <c r="AM122" s="87">
        <f t="shared" si="10"/>
        <v>1</v>
      </c>
      <c r="AN122" s="87">
        <f t="shared" si="11"/>
        <v>1</v>
      </c>
      <c r="AO122" s="87">
        <f>IF(OR(ISBLANK(U122),ISBLANK(Y$71)),1,IF(U122&gt;Y$71,1,0))</f>
        <v>1</v>
      </c>
      <c r="AP122" s="164"/>
      <c r="AQ122" s="87">
        <f t="shared" si="14"/>
        <v>0</v>
      </c>
      <c r="AR122" s="87">
        <f t="shared" si="15"/>
        <v>0</v>
      </c>
      <c r="AS122" s="87">
        <f t="shared" si="12"/>
        <v>1</v>
      </c>
      <c r="AT122" s="87">
        <f t="shared" si="13"/>
        <v>1</v>
      </c>
    </row>
    <row r="123" spans="2:46" ht="15" customHeight="1" x14ac:dyDescent="0.3">
      <c r="C123" s="184">
        <f>Tables!$F$19</f>
        <v>11.7</v>
      </c>
      <c r="D123" s="184"/>
      <c r="G123" s="2" t="str">
        <f>Tables!$D$19</f>
        <v>(25-yr)</v>
      </c>
      <c r="I123" s="178"/>
      <c r="J123" s="178"/>
      <c r="K123" s="178"/>
      <c r="L123" s="33"/>
      <c r="M123" s="178"/>
      <c r="N123" s="178"/>
      <c r="O123" s="178"/>
      <c r="Q123" s="178"/>
      <c r="R123" s="178"/>
      <c r="S123" s="178"/>
      <c r="U123" s="178"/>
      <c r="V123" s="178"/>
      <c r="W123" s="178"/>
      <c r="Y123" s="183"/>
      <c r="Z123" s="183"/>
      <c r="AA123" s="183"/>
      <c r="AB123" s="183"/>
      <c r="AH123" s="178"/>
      <c r="AI123" s="178"/>
      <c r="AJ123" s="178"/>
      <c r="AK123" s="178"/>
      <c r="AM123" s="87">
        <f t="shared" si="10"/>
        <v>1</v>
      </c>
      <c r="AN123" s="87">
        <f t="shared" si="11"/>
        <v>1</v>
      </c>
      <c r="AO123" s="87">
        <f>IF(OR(ISBLANK(U123),ISBLANK(Y$71)),1,IF(U123&gt;Y$71,1,0))</f>
        <v>1</v>
      </c>
      <c r="AP123" s="164"/>
      <c r="AQ123" s="87">
        <f t="shared" si="14"/>
        <v>0</v>
      </c>
      <c r="AR123" s="87">
        <f t="shared" si="15"/>
        <v>0</v>
      </c>
      <c r="AS123" s="87">
        <f t="shared" si="12"/>
        <v>1</v>
      </c>
      <c r="AT123" s="87">
        <f t="shared" si="13"/>
        <v>1</v>
      </c>
    </row>
    <row r="124" spans="2:46" ht="15" customHeight="1" x14ac:dyDescent="0.3">
      <c r="C124" s="184">
        <f>Tables!$F$20</f>
        <v>13.9</v>
      </c>
      <c r="D124" s="184"/>
      <c r="G124" s="2" t="str">
        <f>Tables!$D$20</f>
        <v>(50-yr)</v>
      </c>
      <c r="I124" s="178"/>
      <c r="J124" s="178"/>
      <c r="K124" s="178"/>
      <c r="L124" s="33"/>
      <c r="M124" s="178"/>
      <c r="N124" s="178"/>
      <c r="O124" s="178"/>
      <c r="Q124" s="178"/>
      <c r="R124" s="178"/>
      <c r="S124" s="178"/>
      <c r="U124" s="178"/>
      <c r="V124" s="178"/>
      <c r="W124" s="178"/>
      <c r="Y124" s="183"/>
      <c r="Z124" s="183"/>
      <c r="AA124" s="183"/>
      <c r="AB124" s="183"/>
      <c r="AH124" s="178"/>
      <c r="AI124" s="178"/>
      <c r="AJ124" s="178"/>
      <c r="AK124" s="178"/>
      <c r="AM124" s="87">
        <f t="shared" si="10"/>
        <v>1</v>
      </c>
      <c r="AN124" s="87">
        <f t="shared" si="11"/>
        <v>1</v>
      </c>
      <c r="AO124" s="87">
        <f>IF(OR(ISBLANK(U124),ISBLANK(Y$71)),1,IF(U124&gt;Y$71,1,0))</f>
        <v>1</v>
      </c>
      <c r="AP124" s="105"/>
      <c r="AQ124" s="87">
        <f t="shared" si="14"/>
        <v>0</v>
      </c>
      <c r="AR124" s="87">
        <f t="shared" si="15"/>
        <v>0</v>
      </c>
      <c r="AS124" s="87">
        <f t="shared" si="12"/>
        <v>1</v>
      </c>
      <c r="AT124" s="87">
        <f t="shared" si="13"/>
        <v>1</v>
      </c>
    </row>
    <row r="125" spans="2:46" ht="15" customHeight="1" x14ac:dyDescent="0.3">
      <c r="C125" s="184">
        <f>Tables!$F$21</f>
        <v>16.3</v>
      </c>
      <c r="D125" s="184"/>
      <c r="G125" s="2" t="str">
        <f>Tables!$D$21</f>
        <v>(100-yr)</v>
      </c>
      <c r="I125" s="178"/>
      <c r="J125" s="178"/>
      <c r="K125" s="178"/>
      <c r="L125" s="33"/>
      <c r="M125" s="178"/>
      <c r="N125" s="178"/>
      <c r="O125" s="178"/>
      <c r="Q125" s="178"/>
      <c r="R125" s="178"/>
      <c r="S125" s="178"/>
      <c r="U125" s="178"/>
      <c r="V125" s="178"/>
      <c r="W125" s="178"/>
      <c r="Y125" s="183"/>
      <c r="Z125" s="183"/>
      <c r="AA125" s="183"/>
      <c r="AB125" s="183"/>
      <c r="AD125" s="183"/>
      <c r="AE125" s="183"/>
      <c r="AF125" s="183"/>
      <c r="AH125" s="178"/>
      <c r="AI125" s="178"/>
      <c r="AJ125" s="178"/>
      <c r="AK125" s="178"/>
      <c r="AM125" s="87">
        <f t="shared" si="10"/>
        <v>1</v>
      </c>
      <c r="AN125" s="87">
        <f t="shared" si="11"/>
        <v>1</v>
      </c>
      <c r="AO125" s="92">
        <f>IF(OR(ISBLANK(U125),ISBLANK(AH$71)),0,AH$71-U125)</f>
        <v>0</v>
      </c>
      <c r="AP125" s="87">
        <f>IF(ISBLANK(AD125),1,IF(AD125&gt;$AP$110,1,0))</f>
        <v>1</v>
      </c>
      <c r="AQ125" s="87">
        <f t="shared" si="14"/>
        <v>0</v>
      </c>
      <c r="AR125" s="87">
        <f t="shared" si="15"/>
        <v>0</v>
      </c>
      <c r="AS125" s="87">
        <f t="shared" si="12"/>
        <v>1</v>
      </c>
      <c r="AT125" s="87">
        <f t="shared" si="13"/>
        <v>1</v>
      </c>
    </row>
    <row r="126" spans="2:46" ht="4.95" customHeight="1" x14ac:dyDescent="0.3">
      <c r="AA126" s="33"/>
    </row>
    <row r="127" spans="2:46" ht="15" customHeight="1" x14ac:dyDescent="0.3">
      <c r="B127" s="5" t="s">
        <v>20</v>
      </c>
      <c r="C127" s="5"/>
      <c r="D127" s="5"/>
      <c r="E127" s="5"/>
      <c r="F127" s="5"/>
      <c r="G127" s="5"/>
      <c r="AM127" s="15" t="s">
        <v>144</v>
      </c>
      <c r="AN127" s="14" t="s">
        <v>145</v>
      </c>
      <c r="AO127" s="87">
        <f>IF(AND(ISBLANK(AH71),ISBLANK(U125)),1,2)</f>
        <v>1</v>
      </c>
      <c r="AP127" s="15" t="s">
        <v>241</v>
      </c>
      <c r="AQ127" s="15" t="s">
        <v>337</v>
      </c>
      <c r="AR127" s="15" t="s">
        <v>362</v>
      </c>
      <c r="AS127" s="15" t="s">
        <v>71</v>
      </c>
      <c r="AT127" s="15" t="s">
        <v>241</v>
      </c>
    </row>
    <row r="128" spans="2:46" ht="15" customHeight="1" x14ac:dyDescent="0.3">
      <c r="B128" s="189"/>
      <c r="C128" s="190"/>
      <c r="D128" s="190"/>
      <c r="E128" s="190"/>
      <c r="F128" s="190"/>
      <c r="G128" s="190"/>
      <c r="H128" s="190"/>
      <c r="I128" s="190"/>
      <c r="J128" s="190"/>
      <c r="K128" s="190"/>
      <c r="L128" s="190"/>
      <c r="M128" s="190"/>
      <c r="N128" s="190"/>
      <c r="O128" s="190"/>
      <c r="P128" s="190"/>
      <c r="Q128" s="190"/>
      <c r="R128" s="190"/>
      <c r="S128" s="190"/>
      <c r="T128" s="190"/>
      <c r="U128" s="190"/>
      <c r="V128" s="190"/>
      <c r="W128" s="190"/>
      <c r="X128" s="190"/>
      <c r="Y128" s="190"/>
      <c r="Z128" s="190"/>
      <c r="AA128" s="190"/>
      <c r="AB128" s="190"/>
      <c r="AC128" s="190"/>
      <c r="AD128" s="190"/>
      <c r="AE128" s="190"/>
      <c r="AF128" s="190"/>
      <c r="AG128" s="190"/>
      <c r="AH128" s="190"/>
      <c r="AI128" s="190"/>
      <c r="AJ128" s="190"/>
      <c r="AK128" s="191"/>
      <c r="AO128" s="15" t="s">
        <v>70</v>
      </c>
      <c r="AP128" s="15" t="s">
        <v>379</v>
      </c>
      <c r="AT128" s="15" t="s">
        <v>378</v>
      </c>
    </row>
    <row r="129" spans="2:40" ht="15" customHeight="1" x14ac:dyDescent="0.3">
      <c r="B129" s="192"/>
      <c r="C129" s="193"/>
      <c r="D129" s="193"/>
      <c r="E129" s="193"/>
      <c r="F129" s="193"/>
      <c r="G129" s="193"/>
      <c r="H129" s="193"/>
      <c r="I129" s="193"/>
      <c r="J129" s="193"/>
      <c r="K129" s="193"/>
      <c r="L129" s="193"/>
      <c r="M129" s="193"/>
      <c r="N129" s="193"/>
      <c r="O129" s="193"/>
      <c r="P129" s="193"/>
      <c r="Q129" s="193"/>
      <c r="R129" s="193"/>
      <c r="S129" s="193"/>
      <c r="T129" s="193"/>
      <c r="U129" s="193"/>
      <c r="V129" s="193"/>
      <c r="W129" s="193"/>
      <c r="X129" s="193"/>
      <c r="Y129" s="193"/>
      <c r="Z129" s="193"/>
      <c r="AA129" s="193"/>
      <c r="AB129" s="193"/>
      <c r="AC129" s="193"/>
      <c r="AD129" s="193"/>
      <c r="AE129" s="193"/>
      <c r="AF129" s="193"/>
      <c r="AG129" s="193"/>
      <c r="AH129" s="193"/>
      <c r="AI129" s="193"/>
      <c r="AJ129" s="193"/>
      <c r="AK129" s="194"/>
    </row>
    <row r="130" spans="2:40" ht="15" customHeight="1" x14ac:dyDescent="0.3">
      <c r="B130" s="192"/>
      <c r="C130" s="193"/>
      <c r="D130" s="193"/>
      <c r="E130" s="193"/>
      <c r="F130" s="193"/>
      <c r="G130" s="193"/>
      <c r="H130" s="193"/>
      <c r="I130" s="193"/>
      <c r="J130" s="193"/>
      <c r="K130" s="193"/>
      <c r="L130" s="193"/>
      <c r="M130" s="193"/>
      <c r="N130" s="193"/>
      <c r="O130" s="193"/>
      <c r="P130" s="193"/>
      <c r="Q130" s="193"/>
      <c r="R130" s="193"/>
      <c r="S130" s="193"/>
      <c r="T130" s="193"/>
      <c r="U130" s="193"/>
      <c r="V130" s="193"/>
      <c r="W130" s="193"/>
      <c r="X130" s="193"/>
      <c r="Y130" s="193"/>
      <c r="Z130" s="193"/>
      <c r="AA130" s="193"/>
      <c r="AB130" s="193"/>
      <c r="AC130" s="193"/>
      <c r="AD130" s="193"/>
      <c r="AE130" s="193"/>
      <c r="AF130" s="193"/>
      <c r="AG130" s="193"/>
      <c r="AH130" s="193"/>
      <c r="AI130" s="193"/>
      <c r="AJ130" s="193"/>
      <c r="AK130" s="194"/>
    </row>
    <row r="131" spans="2:40" ht="15" customHeight="1" x14ac:dyDescent="0.3">
      <c r="B131" s="192"/>
      <c r="C131" s="193"/>
      <c r="D131" s="193"/>
      <c r="E131" s="193"/>
      <c r="F131" s="193"/>
      <c r="G131" s="193"/>
      <c r="H131" s="193"/>
      <c r="I131" s="193"/>
      <c r="J131" s="193"/>
      <c r="K131" s="193"/>
      <c r="L131" s="193"/>
      <c r="M131" s="193"/>
      <c r="N131" s="193"/>
      <c r="O131" s="193"/>
      <c r="P131" s="193"/>
      <c r="Q131" s="193"/>
      <c r="R131" s="193"/>
      <c r="S131" s="193"/>
      <c r="T131" s="193"/>
      <c r="U131" s="193"/>
      <c r="V131" s="193"/>
      <c r="W131" s="193"/>
      <c r="X131" s="193"/>
      <c r="Y131" s="193"/>
      <c r="Z131" s="193"/>
      <c r="AA131" s="193"/>
      <c r="AB131" s="193"/>
      <c r="AC131" s="193"/>
      <c r="AD131" s="193"/>
      <c r="AE131" s="193"/>
      <c r="AF131" s="193"/>
      <c r="AG131" s="193"/>
      <c r="AH131" s="193"/>
      <c r="AI131" s="193"/>
      <c r="AJ131" s="193"/>
      <c r="AK131" s="194"/>
    </row>
    <row r="132" spans="2:40" ht="15" customHeight="1" x14ac:dyDescent="0.3">
      <c r="B132" s="192"/>
      <c r="C132" s="193"/>
      <c r="D132" s="193"/>
      <c r="E132" s="193"/>
      <c r="F132" s="193"/>
      <c r="G132" s="193"/>
      <c r="H132" s="193"/>
      <c r="I132" s="193"/>
      <c r="J132" s="193"/>
      <c r="K132" s="193"/>
      <c r="L132" s="193"/>
      <c r="M132" s="193"/>
      <c r="N132" s="193"/>
      <c r="O132" s="193"/>
      <c r="P132" s="193"/>
      <c r="Q132" s="193"/>
      <c r="R132" s="193"/>
      <c r="S132" s="193"/>
      <c r="T132" s="193"/>
      <c r="U132" s="193"/>
      <c r="V132" s="193"/>
      <c r="W132" s="193"/>
      <c r="X132" s="193"/>
      <c r="Y132" s="193"/>
      <c r="Z132" s="193"/>
      <c r="AA132" s="193"/>
      <c r="AB132" s="193"/>
      <c r="AC132" s="193"/>
      <c r="AD132" s="193"/>
      <c r="AE132" s="193"/>
      <c r="AF132" s="193"/>
      <c r="AG132" s="193"/>
      <c r="AH132" s="193"/>
      <c r="AI132" s="193"/>
      <c r="AJ132" s="193"/>
      <c r="AK132" s="194"/>
    </row>
    <row r="133" spans="2:40" ht="15" customHeight="1" x14ac:dyDescent="0.3">
      <c r="B133" s="192"/>
      <c r="C133" s="193"/>
      <c r="D133" s="193"/>
      <c r="E133" s="193"/>
      <c r="F133" s="193"/>
      <c r="G133" s="193"/>
      <c r="H133" s="193"/>
      <c r="I133" s="193"/>
      <c r="J133" s="193"/>
      <c r="K133" s="193"/>
      <c r="L133" s="193"/>
      <c r="M133" s="193"/>
      <c r="N133" s="193"/>
      <c r="O133" s="193"/>
      <c r="P133" s="193"/>
      <c r="Q133" s="193"/>
      <c r="R133" s="193"/>
      <c r="S133" s="193"/>
      <c r="T133" s="193"/>
      <c r="U133" s="193"/>
      <c r="V133" s="193"/>
      <c r="W133" s="193"/>
      <c r="X133" s="193"/>
      <c r="Y133" s="193"/>
      <c r="Z133" s="193"/>
      <c r="AA133" s="193"/>
      <c r="AB133" s="193"/>
      <c r="AC133" s="193"/>
      <c r="AD133" s="193"/>
      <c r="AE133" s="193"/>
      <c r="AF133" s="193"/>
      <c r="AG133" s="193"/>
      <c r="AH133" s="193"/>
      <c r="AI133" s="193"/>
      <c r="AJ133" s="193"/>
      <c r="AK133" s="194"/>
    </row>
    <row r="134" spans="2:40" ht="15" customHeight="1" x14ac:dyDescent="0.3">
      <c r="B134" s="192"/>
      <c r="C134" s="193"/>
      <c r="D134" s="193"/>
      <c r="E134" s="193"/>
      <c r="F134" s="193"/>
      <c r="G134" s="193"/>
      <c r="H134" s="193"/>
      <c r="I134" s="193"/>
      <c r="J134" s="193"/>
      <c r="K134" s="193"/>
      <c r="L134" s="193"/>
      <c r="M134" s="193"/>
      <c r="N134" s="193"/>
      <c r="O134" s="193"/>
      <c r="P134" s="193"/>
      <c r="Q134" s="193"/>
      <c r="R134" s="193"/>
      <c r="S134" s="193"/>
      <c r="T134" s="193"/>
      <c r="U134" s="193"/>
      <c r="V134" s="193"/>
      <c r="W134" s="193"/>
      <c r="X134" s="193"/>
      <c r="Y134" s="193"/>
      <c r="Z134" s="193"/>
      <c r="AA134" s="193"/>
      <c r="AB134" s="193"/>
      <c r="AC134" s="193"/>
      <c r="AD134" s="193"/>
      <c r="AE134" s="193"/>
      <c r="AF134" s="193"/>
      <c r="AG134" s="193"/>
      <c r="AH134" s="193"/>
      <c r="AI134" s="193"/>
      <c r="AJ134" s="193"/>
      <c r="AK134" s="194"/>
    </row>
    <row r="135" spans="2:40" ht="15" customHeight="1" x14ac:dyDescent="0.3">
      <c r="B135" s="195"/>
      <c r="C135" s="196"/>
      <c r="D135" s="196"/>
      <c r="E135" s="196"/>
      <c r="F135" s="196"/>
      <c r="G135" s="196"/>
      <c r="H135" s="196"/>
      <c r="I135" s="196"/>
      <c r="J135" s="196"/>
      <c r="K135" s="196"/>
      <c r="L135" s="196"/>
      <c r="M135" s="196"/>
      <c r="N135" s="196"/>
      <c r="O135" s="196"/>
      <c r="P135" s="196"/>
      <c r="Q135" s="196"/>
      <c r="R135" s="196"/>
      <c r="S135" s="196"/>
      <c r="T135" s="196"/>
      <c r="U135" s="196"/>
      <c r="V135" s="196"/>
      <c r="W135" s="196"/>
      <c r="X135" s="196"/>
      <c r="Y135" s="196"/>
      <c r="Z135" s="196"/>
      <c r="AA135" s="196"/>
      <c r="AB135" s="196"/>
      <c r="AC135" s="196"/>
      <c r="AD135" s="196"/>
      <c r="AE135" s="196"/>
      <c r="AF135" s="196"/>
      <c r="AG135" s="196"/>
      <c r="AH135" s="196"/>
      <c r="AI135" s="196"/>
      <c r="AJ135" s="196"/>
      <c r="AK135" s="197"/>
    </row>
    <row r="136" spans="2:40" ht="4.95" customHeight="1" x14ac:dyDescent="0.3">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row>
    <row r="137" spans="2:40" ht="15" customHeight="1" x14ac:dyDescent="0.3">
      <c r="B137" s="1" t="s">
        <v>126</v>
      </c>
      <c r="C137" s="1"/>
      <c r="D137" s="1"/>
      <c r="E137" s="1"/>
      <c r="F137" s="1"/>
      <c r="G137" s="1"/>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row>
    <row r="138" spans="2:40" ht="15" customHeight="1" x14ac:dyDescent="0.3">
      <c r="C138" s="2"/>
      <c r="E138" s="2" t="s">
        <v>195</v>
      </c>
      <c r="F138" s="201"/>
      <c r="G138" s="201"/>
      <c r="H138" s="201"/>
      <c r="I138" s="201"/>
      <c r="J138" s="201"/>
      <c r="K138" s="201"/>
      <c r="L138" s="201"/>
      <c r="M138" s="201"/>
      <c r="N138" s="201"/>
      <c r="O138" s="201"/>
      <c r="P138" s="201"/>
      <c r="Q138" s="201"/>
      <c r="R138" s="201"/>
      <c r="S138" s="201"/>
      <c r="T138" s="201"/>
      <c r="U138" s="201"/>
      <c r="V138" s="201"/>
    </row>
    <row r="139" spans="2:40" ht="15" customHeight="1" x14ac:dyDescent="0.3">
      <c r="C139" s="2"/>
      <c r="E139" s="2" t="s">
        <v>129</v>
      </c>
      <c r="F139" s="202"/>
      <c r="G139" s="202"/>
      <c r="H139" s="202"/>
      <c r="I139" s="202"/>
      <c r="J139" s="202"/>
      <c r="K139" s="202"/>
      <c r="L139" s="202"/>
      <c r="M139" s="202"/>
      <c r="N139" s="202"/>
      <c r="O139" s="202"/>
      <c r="P139" s="202"/>
      <c r="Q139" s="202"/>
      <c r="R139" s="202"/>
      <c r="S139" s="202"/>
      <c r="T139" s="202"/>
      <c r="U139" s="202"/>
      <c r="V139" s="202"/>
      <c r="W139" s="4"/>
      <c r="X139" s="4"/>
      <c r="Y139" s="4"/>
      <c r="Z139" s="4"/>
      <c r="AA139" s="4"/>
      <c r="AB139" s="4"/>
      <c r="AC139" s="4"/>
      <c r="AD139" s="4"/>
      <c r="AE139" s="4"/>
      <c r="AF139" s="4"/>
      <c r="AG139" s="4"/>
      <c r="AH139" s="4"/>
      <c r="AI139" s="4"/>
      <c r="AJ139" s="4"/>
      <c r="AK139" s="4"/>
    </row>
    <row r="140" spans="2:40" ht="15" customHeight="1" x14ac:dyDescent="0.3">
      <c r="C140" s="2"/>
      <c r="E140" s="2" t="s">
        <v>264</v>
      </c>
      <c r="F140" s="202"/>
      <c r="G140" s="202"/>
      <c r="H140" s="202"/>
      <c r="I140" s="202"/>
      <c r="J140" s="202"/>
      <c r="K140" s="202"/>
      <c r="L140" s="202"/>
      <c r="M140" s="202"/>
      <c r="N140" s="202"/>
      <c r="O140" s="202"/>
      <c r="P140" s="202"/>
      <c r="Q140" s="202"/>
      <c r="R140" s="202"/>
      <c r="S140" s="202"/>
      <c r="T140" s="202"/>
      <c r="U140" s="202"/>
      <c r="V140" s="202"/>
      <c r="X140" s="2"/>
      <c r="Y140" s="2" t="s">
        <v>132</v>
      </c>
      <c r="Z140" s="209"/>
      <c r="AA140" s="209"/>
      <c r="AB140" s="209"/>
      <c r="AC140" s="209"/>
      <c r="AF140" s="2"/>
      <c r="AG140" s="2" t="s">
        <v>133</v>
      </c>
      <c r="AH140" s="234"/>
      <c r="AI140" s="234"/>
      <c r="AJ140" s="234"/>
      <c r="AK140" s="234"/>
    </row>
    <row r="141" spans="2:40" ht="15" customHeight="1" x14ac:dyDescent="0.3">
      <c r="C141" s="2"/>
      <c r="E141" s="2" t="s">
        <v>285</v>
      </c>
      <c r="F141" s="202"/>
      <c r="G141" s="202"/>
      <c r="H141" s="202"/>
      <c r="I141" s="202"/>
      <c r="J141" s="202"/>
      <c r="K141" s="202"/>
      <c r="L141" s="202"/>
      <c r="M141" s="202"/>
      <c r="N141" s="202"/>
      <c r="O141" s="202"/>
      <c r="P141" s="202"/>
      <c r="Q141" s="202"/>
      <c r="R141" s="202"/>
      <c r="S141" s="202"/>
      <c r="T141" s="202"/>
      <c r="U141" s="202"/>
      <c r="V141" s="202"/>
      <c r="X141" s="2"/>
      <c r="Y141" s="2" t="s">
        <v>135</v>
      </c>
      <c r="Z141" s="201"/>
      <c r="AA141" s="201"/>
      <c r="AB141" s="201"/>
      <c r="AC141" s="201"/>
      <c r="AD141" s="201"/>
      <c r="AE141" s="201"/>
      <c r="AF141" s="201"/>
      <c r="AG141" s="201"/>
      <c r="AH141" s="201"/>
      <c r="AI141" s="201"/>
      <c r="AJ141" s="201"/>
      <c r="AK141" s="201"/>
    </row>
    <row r="142" spans="2:40" ht="15" customHeight="1" x14ac:dyDescent="0.3">
      <c r="C142" s="2"/>
      <c r="E142" s="2" t="s">
        <v>130</v>
      </c>
      <c r="F142" s="247"/>
      <c r="G142" s="247"/>
      <c r="H142" s="247"/>
      <c r="I142" s="247"/>
      <c r="J142" s="247"/>
      <c r="K142" s="247"/>
      <c r="L142" s="247"/>
      <c r="M142" s="247"/>
      <c r="N142" s="247"/>
      <c r="O142" s="247"/>
      <c r="P142" s="247"/>
      <c r="Q142" s="247"/>
      <c r="R142" s="247"/>
      <c r="S142" s="247"/>
      <c r="T142" s="247"/>
      <c r="U142" s="247"/>
      <c r="V142" s="247"/>
      <c r="X142" s="13"/>
      <c r="Y142" s="13"/>
      <c r="Z142" s="13"/>
      <c r="AA142" s="13"/>
      <c r="AB142" s="13"/>
      <c r="AC142" s="13"/>
      <c r="AF142" s="2" t="s">
        <v>134</v>
      </c>
      <c r="AG142" s="249"/>
      <c r="AH142" s="249"/>
      <c r="AI142" s="249"/>
      <c r="AJ142" s="249"/>
      <c r="AK142" s="249"/>
    </row>
    <row r="143" spans="2:40" ht="4.95" customHeight="1" x14ac:dyDescent="0.3">
      <c r="B143" s="2"/>
      <c r="C143" s="2"/>
      <c r="D143" s="2"/>
      <c r="E143" s="2"/>
      <c r="F143" s="2"/>
      <c r="G143" s="2"/>
      <c r="H143" s="36"/>
      <c r="I143" s="36"/>
      <c r="J143" s="36"/>
      <c r="K143" s="36"/>
      <c r="L143" s="36"/>
      <c r="M143" s="36"/>
      <c r="N143" s="36"/>
      <c r="O143" s="36"/>
      <c r="P143" s="36"/>
      <c r="Q143" s="36"/>
      <c r="R143" s="36"/>
      <c r="S143" s="36"/>
      <c r="T143" s="36"/>
      <c r="U143" s="36"/>
      <c r="V143" s="36"/>
      <c r="X143" s="4"/>
      <c r="Y143" s="4"/>
      <c r="Z143" s="4"/>
      <c r="AA143" s="4"/>
      <c r="AB143" s="4"/>
      <c r="AC143" s="4"/>
      <c r="AD143" s="2"/>
      <c r="AE143" s="4"/>
      <c r="AF143" s="4"/>
      <c r="AG143" s="4"/>
      <c r="AH143" s="4"/>
      <c r="AI143" s="4"/>
      <c r="AJ143" s="4"/>
      <c r="AK143" s="4"/>
    </row>
    <row r="144" spans="2:40" ht="15" customHeight="1" x14ac:dyDescent="0.3">
      <c r="B144" s="1" t="s">
        <v>257</v>
      </c>
      <c r="C144" s="1"/>
      <c r="D144" s="1"/>
      <c r="E144" s="1"/>
      <c r="F144" s="1"/>
      <c r="G144" s="1"/>
      <c r="H144" s="4"/>
      <c r="I144" s="4"/>
      <c r="J144" s="4"/>
      <c r="K144" s="4"/>
      <c r="L144" s="4"/>
      <c r="M144" s="4"/>
      <c r="N144" s="4"/>
      <c r="O144" s="4"/>
      <c r="P144" s="4"/>
      <c r="Q144" s="4"/>
      <c r="R144" s="4"/>
      <c r="S144" s="4"/>
      <c r="T144" s="4"/>
      <c r="U144" s="4"/>
      <c r="V144" s="4"/>
      <c r="X144" s="4"/>
      <c r="Z144" s="162"/>
      <c r="AA144" s="21" t="s">
        <v>127</v>
      </c>
      <c r="AB144" s="4"/>
      <c r="AC144" s="4"/>
      <c r="AH144" s="4"/>
      <c r="AI144" s="4"/>
      <c r="AJ144" s="4"/>
      <c r="AK144" s="4"/>
      <c r="AM144" s="87">
        <f>IF(AND(ISBLANK(F145),ISBLANK(F146),ISBLANK(F147),ISBLANK(F148),ISBLANK(F149),ISBLANK(Z147),ISBLANK(AH147),ISBLANK(Z148),ISBLANK(AG149)),1,2)</f>
        <v>1</v>
      </c>
      <c r="AN144" s="87">
        <f>IF(ISBLANK(Z144),1,2)</f>
        <v>1</v>
      </c>
    </row>
    <row r="145" spans="2:42" ht="15" customHeight="1" x14ac:dyDescent="0.3">
      <c r="C145" s="2"/>
      <c r="E145" s="2" t="s">
        <v>131</v>
      </c>
      <c r="F145" s="201"/>
      <c r="G145" s="201"/>
      <c r="H145" s="201"/>
      <c r="I145" s="201"/>
      <c r="J145" s="201"/>
      <c r="K145" s="201"/>
      <c r="L145" s="201"/>
      <c r="M145" s="201"/>
      <c r="N145" s="201"/>
      <c r="O145" s="201"/>
      <c r="P145" s="201"/>
      <c r="Q145" s="201"/>
      <c r="R145" s="201"/>
      <c r="S145" s="201"/>
      <c r="T145" s="201"/>
      <c r="U145" s="201"/>
      <c r="V145" s="201"/>
    </row>
    <row r="146" spans="2:42" ht="15" customHeight="1" x14ac:dyDescent="0.3">
      <c r="C146" s="2"/>
      <c r="E146" s="2" t="s">
        <v>129</v>
      </c>
      <c r="F146" s="202"/>
      <c r="G146" s="202"/>
      <c r="H146" s="202"/>
      <c r="I146" s="202"/>
      <c r="J146" s="202"/>
      <c r="K146" s="202"/>
      <c r="L146" s="202"/>
      <c r="M146" s="202"/>
      <c r="N146" s="202"/>
      <c r="O146" s="202"/>
      <c r="P146" s="202"/>
      <c r="Q146" s="202"/>
      <c r="R146" s="202"/>
      <c r="S146" s="202"/>
      <c r="T146" s="202"/>
      <c r="U146" s="202"/>
      <c r="V146" s="202"/>
      <c r="AE146" s="4"/>
      <c r="AF146" s="4"/>
      <c r="AG146" s="4"/>
      <c r="AH146" s="4"/>
      <c r="AI146" s="4"/>
      <c r="AJ146" s="4"/>
      <c r="AK146" s="4"/>
    </row>
    <row r="147" spans="2:42" ht="15" customHeight="1" x14ac:dyDescent="0.3">
      <c r="C147" s="2"/>
      <c r="E147" s="2" t="s">
        <v>264</v>
      </c>
      <c r="F147" s="202"/>
      <c r="G147" s="202"/>
      <c r="H147" s="202"/>
      <c r="I147" s="202"/>
      <c r="J147" s="202"/>
      <c r="K147" s="202"/>
      <c r="L147" s="202"/>
      <c r="M147" s="202"/>
      <c r="N147" s="202"/>
      <c r="O147" s="202"/>
      <c r="P147" s="202"/>
      <c r="Q147" s="202"/>
      <c r="R147" s="202"/>
      <c r="S147" s="202"/>
      <c r="T147" s="202"/>
      <c r="U147" s="202"/>
      <c r="V147" s="202"/>
      <c r="X147" s="2"/>
      <c r="Y147" s="2" t="s">
        <v>132</v>
      </c>
      <c r="Z147" s="209"/>
      <c r="AA147" s="209"/>
      <c r="AB147" s="209"/>
      <c r="AC147" s="209"/>
      <c r="AF147" s="2"/>
      <c r="AG147" s="2" t="s">
        <v>133</v>
      </c>
      <c r="AH147" s="233"/>
      <c r="AI147" s="233"/>
      <c r="AJ147" s="233"/>
      <c r="AK147" s="233"/>
    </row>
    <row r="148" spans="2:42" ht="15" customHeight="1" x14ac:dyDescent="0.3">
      <c r="C148" s="2"/>
      <c r="E148" s="2" t="s">
        <v>285</v>
      </c>
      <c r="F148" s="201"/>
      <c r="G148" s="201"/>
      <c r="H148" s="201"/>
      <c r="I148" s="201"/>
      <c r="J148" s="201"/>
      <c r="K148" s="201"/>
      <c r="L148" s="201"/>
      <c r="M148" s="201"/>
      <c r="N148" s="201"/>
      <c r="O148" s="201"/>
      <c r="P148" s="201"/>
      <c r="Q148" s="201"/>
      <c r="R148" s="201"/>
      <c r="S148" s="201"/>
      <c r="T148" s="201"/>
      <c r="U148" s="201"/>
      <c r="V148" s="201"/>
      <c r="W148" s="4"/>
      <c r="X148" s="4"/>
      <c r="Y148" s="2" t="s">
        <v>135</v>
      </c>
      <c r="Z148" s="201"/>
      <c r="AA148" s="201"/>
      <c r="AB148" s="201"/>
      <c r="AC148" s="201"/>
      <c r="AD148" s="201"/>
      <c r="AE148" s="201"/>
      <c r="AF148" s="201"/>
      <c r="AG148" s="201"/>
      <c r="AH148" s="201"/>
      <c r="AI148" s="201"/>
      <c r="AJ148" s="201"/>
      <c r="AK148" s="201"/>
    </row>
    <row r="149" spans="2:42" ht="15" customHeight="1" x14ac:dyDescent="0.3">
      <c r="C149" s="2"/>
      <c r="E149" s="2" t="s">
        <v>130</v>
      </c>
      <c r="F149" s="247"/>
      <c r="G149" s="247"/>
      <c r="H149" s="247"/>
      <c r="I149" s="247"/>
      <c r="J149" s="247"/>
      <c r="K149" s="247"/>
      <c r="L149" s="247"/>
      <c r="M149" s="247"/>
      <c r="N149" s="247"/>
      <c r="O149" s="247"/>
      <c r="P149" s="247"/>
      <c r="Q149" s="247"/>
      <c r="R149" s="247"/>
      <c r="S149" s="247"/>
      <c r="T149" s="247"/>
      <c r="U149" s="247"/>
      <c r="V149" s="247"/>
      <c r="AF149" s="2" t="s">
        <v>134</v>
      </c>
      <c r="AG149" s="249"/>
      <c r="AH149" s="249"/>
      <c r="AI149" s="249"/>
      <c r="AJ149" s="249"/>
      <c r="AK149" s="249"/>
    </row>
    <row r="150" spans="2:42" ht="15" customHeight="1" x14ac:dyDescent="0.3">
      <c r="AK150" s="25"/>
    </row>
    <row r="151" spans="2:42" ht="15" customHeight="1" x14ac:dyDescent="0.3">
      <c r="AK151" s="25"/>
    </row>
    <row r="152" spans="2:42" ht="15" customHeight="1" x14ac:dyDescent="0.3">
      <c r="B152" s="200">
        <f>Tables!$F$13</f>
        <v>46266</v>
      </c>
      <c r="C152" s="200"/>
      <c r="D152" s="200"/>
      <c r="E152" s="200"/>
      <c r="F152" s="200"/>
      <c r="G152" s="200"/>
      <c r="H152" s="200"/>
      <c r="R152" s="186" t="s">
        <v>406</v>
      </c>
      <c r="S152" s="186"/>
      <c r="T152" s="186"/>
      <c r="U152" s="186"/>
      <c r="AK152" s="25"/>
    </row>
    <row r="153" spans="2:42" ht="15" customHeight="1" x14ac:dyDescent="0.3">
      <c r="C153" s="2" t="s">
        <v>1</v>
      </c>
      <c r="D153" s="199">
        <f>IF(ISBLANK($E$7),"",$E$7)</f>
        <v>0</v>
      </c>
      <c r="E153" s="199"/>
      <c r="F153" s="199"/>
      <c r="G153" s="199"/>
      <c r="H153" s="199"/>
      <c r="I153" s="199"/>
      <c r="J153" s="199"/>
      <c r="K153" s="199"/>
      <c r="L153" s="199"/>
      <c r="M153" s="199"/>
      <c r="N153" s="199"/>
      <c r="O153" s="199"/>
      <c r="P153" s="199"/>
      <c r="Q153" s="199"/>
      <c r="R153" s="199"/>
      <c r="S153" s="199"/>
      <c r="T153" s="199"/>
      <c r="U153" s="199"/>
      <c r="V153" s="199"/>
      <c r="W153" s="199"/>
      <c r="X153" s="199"/>
      <c r="Y153" s="199"/>
      <c r="Z153" s="199"/>
      <c r="AA153" s="33"/>
      <c r="AB153" s="33"/>
      <c r="AC153" s="33"/>
      <c r="AF153" s="2" t="s">
        <v>19</v>
      </c>
      <c r="AG153" s="179">
        <f>$AF$7</f>
        <v>0</v>
      </c>
      <c r="AH153" s="179"/>
      <c r="AI153" s="179"/>
      <c r="AJ153" s="179"/>
      <c r="AK153" s="179"/>
    </row>
    <row r="154" spans="2:42" ht="15" customHeight="1" x14ac:dyDescent="0.3">
      <c r="H154" s="34"/>
      <c r="I154" s="34"/>
      <c r="J154" s="2"/>
      <c r="K154" s="2"/>
      <c r="L154" s="2"/>
      <c r="M154" s="34"/>
      <c r="N154" s="33"/>
      <c r="O154" s="33"/>
      <c r="P154" s="33"/>
      <c r="Q154" s="33"/>
      <c r="R154" s="33"/>
      <c r="S154" s="33"/>
      <c r="T154" s="33"/>
      <c r="U154" s="33"/>
      <c r="V154" s="33"/>
      <c r="W154" s="33"/>
      <c r="X154" s="33"/>
      <c r="Y154" s="33"/>
      <c r="Z154" s="33"/>
      <c r="AA154" s="33"/>
      <c r="AB154" s="33"/>
      <c r="AC154" s="33"/>
      <c r="AF154" s="2" t="s">
        <v>32</v>
      </c>
      <c r="AG154" s="229">
        <f>IF(ISBLANK($AF$8),"",$AF$8)</f>
        <v>0</v>
      </c>
      <c r="AH154" s="229"/>
      <c r="AI154" s="229"/>
      <c r="AJ154" s="229"/>
      <c r="AK154" s="229"/>
    </row>
    <row r="155" spans="2:42" ht="15" customHeight="1" x14ac:dyDescent="0.3">
      <c r="B155" s="1" t="s">
        <v>93</v>
      </c>
      <c r="F155" s="34"/>
      <c r="G155" s="34"/>
      <c r="H155" s="34"/>
      <c r="I155" s="34"/>
      <c r="J155" s="34"/>
      <c r="K155" s="2"/>
      <c r="L155" s="2"/>
      <c r="M155" s="2"/>
      <c r="N155" s="2"/>
      <c r="O155" s="34"/>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M155" s="14"/>
    </row>
    <row r="156" spans="2:42" ht="15" customHeight="1" x14ac:dyDescent="0.3">
      <c r="D156" s="21" t="s">
        <v>175</v>
      </c>
      <c r="F156" s="21" t="s">
        <v>137</v>
      </c>
      <c r="X156" s="186" t="s">
        <v>282</v>
      </c>
      <c r="Y156" s="186"/>
      <c r="Z156" s="186"/>
      <c r="AA156" s="186"/>
      <c r="AC156" s="186" t="s">
        <v>283</v>
      </c>
      <c r="AD156" s="186"/>
      <c r="AE156" s="186"/>
      <c r="AF156" s="186"/>
      <c r="AG156" s="186"/>
      <c r="AH156" s="186"/>
      <c r="AI156" s="186"/>
      <c r="AM156" s="87">
        <f>SUM(AM160,AM162,AM164,AM166,AM168,AM170)</f>
        <v>6</v>
      </c>
      <c r="AN156" s="15"/>
      <c r="AP156" s="87">
        <f>SUM(AP160,AP162,AP164,AP166,AP168,AP170)</f>
        <v>0</v>
      </c>
    </row>
    <row r="157" spans="2:42" ht="4.95" customHeight="1" x14ac:dyDescent="0.3">
      <c r="AN157" s="15"/>
    </row>
    <row r="158" spans="2:42" ht="15" customHeight="1" x14ac:dyDescent="0.3">
      <c r="D158" s="162"/>
      <c r="F158" s="162"/>
      <c r="H158" s="21" t="s">
        <v>348</v>
      </c>
      <c r="AM158" s="87">
        <f>IF(AND(ISBLANK(D158),ISBLANK(F158)),1,2)</f>
        <v>1</v>
      </c>
      <c r="AN158" s="87">
        <f>IF(ISBLANK(F158),1,2)</f>
        <v>1</v>
      </c>
      <c r="AO158" s="87">
        <f>IF(ISBLANK(D158),1,2)</f>
        <v>1</v>
      </c>
      <c r="AP158" s="87">
        <f>IF(ISBLANK(F158),0,1)</f>
        <v>0</v>
      </c>
    </row>
    <row r="159" spans="2:42" ht="4.95" customHeight="1" x14ac:dyDescent="0.3">
      <c r="AN159" s="15"/>
    </row>
    <row r="160" spans="2:42" ht="15" customHeight="1" x14ac:dyDescent="0.3">
      <c r="D160" s="162"/>
      <c r="F160" s="162"/>
      <c r="H160" s="21" t="s">
        <v>314</v>
      </c>
      <c r="Y160" s="209"/>
      <c r="Z160" s="209"/>
      <c r="AC160" s="235"/>
      <c r="AD160" s="235"/>
      <c r="AE160" s="235"/>
      <c r="AF160" s="235"/>
      <c r="AG160" s="235"/>
      <c r="AH160" s="235"/>
      <c r="AI160" s="235"/>
      <c r="AM160" s="87">
        <f>IF(AND(ISBLANK(D160),ISBLANK(F160)),1,2)</f>
        <v>1</v>
      </c>
      <c r="AN160" s="87">
        <f>IF(ISBLANK(F160),1,2)</f>
        <v>1</v>
      </c>
      <c r="AO160" s="87">
        <f>IF(ISBLANK(D160),1,2)</f>
        <v>1</v>
      </c>
      <c r="AP160" s="87">
        <f>IF(ISBLANK(F160),0,1)</f>
        <v>0</v>
      </c>
    </row>
    <row r="161" spans="2:49" ht="4.95" customHeight="1" x14ac:dyDescent="0.3">
      <c r="AN161" s="15"/>
    </row>
    <row r="162" spans="2:49" ht="15" customHeight="1" x14ac:dyDescent="0.3">
      <c r="D162" s="162"/>
      <c r="F162" s="162"/>
      <c r="H162" s="21" t="s">
        <v>439</v>
      </c>
      <c r="Y162" s="209"/>
      <c r="Z162" s="209"/>
      <c r="AC162" s="235"/>
      <c r="AD162" s="235"/>
      <c r="AE162" s="235"/>
      <c r="AF162" s="235"/>
      <c r="AG162" s="235"/>
      <c r="AH162" s="235"/>
      <c r="AI162" s="235"/>
      <c r="AM162" s="87">
        <f>IF(AND(ISBLANK(D162),ISBLANK(F162)),1,2)</f>
        <v>1</v>
      </c>
      <c r="AN162" s="87">
        <f>IF(ISBLANK(F162),1,2)</f>
        <v>1</v>
      </c>
      <c r="AO162" s="87">
        <f>IF(ISBLANK(D162),1,2)</f>
        <v>1</v>
      </c>
      <c r="AP162" s="87">
        <f>IF(ISBLANK(F162),0,1)</f>
        <v>0</v>
      </c>
    </row>
    <row r="163" spans="2:49" ht="4.95" customHeight="1" x14ac:dyDescent="0.3">
      <c r="AN163" s="15"/>
    </row>
    <row r="164" spans="2:49" ht="15" customHeight="1" x14ac:dyDescent="0.3">
      <c r="D164" s="162"/>
      <c r="F164" s="162"/>
      <c r="H164" s="21" t="s">
        <v>438</v>
      </c>
      <c r="Y164" s="209"/>
      <c r="Z164" s="209"/>
      <c r="AC164" s="235"/>
      <c r="AD164" s="235"/>
      <c r="AE164" s="235"/>
      <c r="AF164" s="235"/>
      <c r="AG164" s="235"/>
      <c r="AH164" s="235"/>
      <c r="AI164" s="235"/>
      <c r="AM164" s="87">
        <f>IF(AND(ISBLANK(D164),ISBLANK(F164)),1,2)</f>
        <v>1</v>
      </c>
      <c r="AN164" s="87">
        <f>IF(ISBLANK(F164),1,2)</f>
        <v>1</v>
      </c>
      <c r="AO164" s="87">
        <f>IF(ISBLANK(D164),1,2)</f>
        <v>1</v>
      </c>
      <c r="AP164" s="87">
        <f>IF(ISBLANK(F164),0,1)</f>
        <v>0</v>
      </c>
    </row>
    <row r="165" spans="2:49" ht="4.95" customHeight="1" x14ac:dyDescent="0.3">
      <c r="AN165" s="15"/>
    </row>
    <row r="166" spans="2:49" ht="15" customHeight="1" x14ac:dyDescent="0.3">
      <c r="D166" s="162"/>
      <c r="F166" s="162"/>
      <c r="H166" s="21" t="s">
        <v>315</v>
      </c>
      <c r="Y166" s="209"/>
      <c r="Z166" s="209"/>
      <c r="AC166" s="235"/>
      <c r="AD166" s="235"/>
      <c r="AE166" s="235"/>
      <c r="AF166" s="235"/>
      <c r="AG166" s="235"/>
      <c r="AH166" s="235"/>
      <c r="AI166" s="235"/>
      <c r="AM166" s="87">
        <f>IF(AND(ISBLANK(D166),ISBLANK(F166)),1,2)</f>
        <v>1</v>
      </c>
      <c r="AN166" s="87">
        <f>IF(ISBLANK(F166),1,2)</f>
        <v>1</v>
      </c>
      <c r="AO166" s="87">
        <f>IF(ISBLANK(D166),1,2)</f>
        <v>1</v>
      </c>
      <c r="AP166" s="87">
        <f>IF(ISBLANK(F166),0,1)</f>
        <v>0</v>
      </c>
    </row>
    <row r="167" spans="2:49" ht="4.95" customHeight="1" x14ac:dyDescent="0.3">
      <c r="C167" s="34"/>
      <c r="D167" s="34"/>
      <c r="E167" s="34"/>
      <c r="F167" s="2"/>
      <c r="G167" s="2"/>
      <c r="J167" s="34"/>
      <c r="K167" s="33"/>
      <c r="L167" s="33"/>
      <c r="M167" s="33"/>
      <c r="N167" s="33"/>
      <c r="O167" s="33"/>
      <c r="X167" s="33"/>
      <c r="Y167" s="33"/>
      <c r="Z167" s="33"/>
      <c r="AA167" s="33"/>
      <c r="AB167" s="33"/>
      <c r="AC167" s="33"/>
      <c r="AD167" s="33"/>
      <c r="AE167" s="33"/>
      <c r="AF167" s="33"/>
      <c r="AG167" s="33"/>
      <c r="AH167" s="33"/>
      <c r="AI167" s="33"/>
      <c r="AJ167" s="33"/>
      <c r="AK167" s="33"/>
      <c r="AM167" s="14"/>
    </row>
    <row r="168" spans="2:49" ht="15" customHeight="1" x14ac:dyDescent="0.3">
      <c r="C168" s="34"/>
      <c r="D168" s="162"/>
      <c r="F168" s="162"/>
      <c r="H168" s="21" t="s">
        <v>349</v>
      </c>
      <c r="Y168" s="209"/>
      <c r="Z168" s="209"/>
      <c r="AC168" s="235"/>
      <c r="AD168" s="235"/>
      <c r="AE168" s="235"/>
      <c r="AF168" s="235"/>
      <c r="AG168" s="235"/>
      <c r="AH168" s="235"/>
      <c r="AI168" s="235"/>
      <c r="AM168" s="87">
        <f>IF(AND(ISBLANK(D168),ISBLANK(F168)),1,2)</f>
        <v>1</v>
      </c>
      <c r="AN168" s="87">
        <f>IF(ISBLANK(F168),1,2)</f>
        <v>1</v>
      </c>
      <c r="AO168" s="87">
        <f>IF(ISBLANK(D168),1,2)</f>
        <v>1</v>
      </c>
      <c r="AP168" s="87">
        <f>IF(ISBLANK(F168),0,1)</f>
        <v>0</v>
      </c>
    </row>
    <row r="169" spans="2:49" ht="4.95" customHeight="1" x14ac:dyDescent="0.3">
      <c r="H169" s="34"/>
      <c r="I169" s="34"/>
      <c r="J169" s="2"/>
      <c r="K169" s="2"/>
      <c r="L169" s="2"/>
      <c r="M169" s="34"/>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row>
    <row r="170" spans="2:49" ht="15" customHeight="1" x14ac:dyDescent="0.3">
      <c r="D170" s="162"/>
      <c r="F170" s="162"/>
      <c r="H170" s="21" t="s">
        <v>316</v>
      </c>
      <c r="Y170" s="209"/>
      <c r="Z170" s="209"/>
      <c r="AC170" s="235"/>
      <c r="AD170" s="235"/>
      <c r="AE170" s="235"/>
      <c r="AF170" s="235"/>
      <c r="AG170" s="235"/>
      <c r="AH170" s="235"/>
      <c r="AI170" s="235"/>
      <c r="AM170" s="87">
        <f>IF(AND(ISBLANK(D170),ISBLANK(F170)),1,2)</f>
        <v>1</v>
      </c>
      <c r="AN170" s="87">
        <f>IF(ISBLANK(F170),1,2)</f>
        <v>1</v>
      </c>
      <c r="AO170" s="87">
        <f>IF(ISBLANK(D170),1,2)</f>
        <v>1</v>
      </c>
      <c r="AP170" s="87">
        <f>IF(ISBLANK(F170),0,1)</f>
        <v>0</v>
      </c>
    </row>
    <row r="171" spans="2:49" ht="15" customHeight="1" x14ac:dyDescent="0.3">
      <c r="AK171" s="25"/>
    </row>
    <row r="172" spans="2:49" ht="15" customHeight="1" x14ac:dyDescent="0.3">
      <c r="B172" s="1" t="s">
        <v>17</v>
      </c>
      <c r="C172" s="1"/>
      <c r="D172" s="1"/>
      <c r="E172" s="1"/>
      <c r="F172" s="1"/>
      <c r="G172" s="1"/>
      <c r="H172" s="1"/>
      <c r="I172" s="1"/>
    </row>
    <row r="173" spans="2:49" ht="15" customHeight="1" x14ac:dyDescent="0.3">
      <c r="B173" s="232" t="s">
        <v>242</v>
      </c>
      <c r="C173" s="232"/>
      <c r="D173" s="232"/>
      <c r="E173" s="232"/>
      <c r="F173" s="232"/>
      <c r="G173" s="232"/>
      <c r="H173" s="232"/>
      <c r="I173" s="232"/>
      <c r="J173" s="232"/>
      <c r="K173" s="232"/>
      <c r="L173" s="232"/>
      <c r="M173" s="232"/>
      <c r="N173" s="232"/>
      <c r="O173" s="232"/>
      <c r="P173" s="232"/>
      <c r="Q173" s="232"/>
      <c r="R173" s="232"/>
      <c r="S173" s="232"/>
      <c r="T173" s="232"/>
      <c r="U173" s="232"/>
      <c r="V173" s="232"/>
      <c r="W173" s="232"/>
      <c r="X173" s="232"/>
      <c r="Y173" s="232"/>
      <c r="Z173" s="232"/>
      <c r="AA173" s="232"/>
      <c r="AB173" s="232"/>
      <c r="AC173" s="232"/>
      <c r="AD173" s="232"/>
      <c r="AE173" s="232"/>
      <c r="AF173" s="232"/>
      <c r="AG173" s="232"/>
      <c r="AH173" s="232"/>
      <c r="AI173" s="232"/>
      <c r="AJ173" s="232"/>
      <c r="AK173" s="232"/>
      <c r="AL173" s="232"/>
      <c r="AV173" s="56"/>
      <c r="AW173" s="56"/>
    </row>
    <row r="174" spans="2:49" ht="15" customHeight="1" x14ac:dyDescent="0.3">
      <c r="B174" s="232"/>
      <c r="C174" s="232"/>
      <c r="D174" s="232"/>
      <c r="E174" s="232"/>
      <c r="F174" s="232"/>
      <c r="G174" s="232"/>
      <c r="H174" s="232"/>
      <c r="I174" s="232"/>
      <c r="J174" s="232"/>
      <c r="K174" s="232"/>
      <c r="L174" s="232"/>
      <c r="M174" s="232"/>
      <c r="N174" s="232"/>
      <c r="O174" s="232"/>
      <c r="P174" s="232"/>
      <c r="Q174" s="232"/>
      <c r="R174" s="232"/>
      <c r="S174" s="232"/>
      <c r="T174" s="232"/>
      <c r="U174" s="232"/>
      <c r="V174" s="232"/>
      <c r="W174" s="232"/>
      <c r="X174" s="232"/>
      <c r="Y174" s="232"/>
      <c r="Z174" s="232"/>
      <c r="AA174" s="232"/>
      <c r="AB174" s="232"/>
      <c r="AC174" s="232"/>
      <c r="AD174" s="232"/>
      <c r="AE174" s="232"/>
      <c r="AF174" s="232"/>
      <c r="AG174" s="232"/>
      <c r="AH174" s="232"/>
      <c r="AI174" s="232"/>
      <c r="AJ174" s="232"/>
      <c r="AK174" s="232"/>
      <c r="AL174" s="232"/>
    </row>
    <row r="175" spans="2:49" ht="15" customHeight="1" x14ac:dyDescent="0.3">
      <c r="B175" s="232"/>
      <c r="C175" s="232"/>
      <c r="D175" s="232"/>
      <c r="E175" s="232"/>
      <c r="F175" s="232"/>
      <c r="G175" s="232"/>
      <c r="H175" s="232"/>
      <c r="I175" s="232"/>
      <c r="J175" s="232"/>
      <c r="K175" s="232"/>
      <c r="L175" s="232"/>
      <c r="M175" s="232"/>
      <c r="N175" s="232"/>
      <c r="O175" s="232"/>
      <c r="P175" s="232"/>
      <c r="Q175" s="232"/>
      <c r="R175" s="232"/>
      <c r="S175" s="232"/>
      <c r="T175" s="232"/>
      <c r="U175" s="232"/>
      <c r="V175" s="232"/>
      <c r="W175" s="232"/>
      <c r="X175" s="232"/>
      <c r="Y175" s="232"/>
      <c r="Z175" s="232"/>
      <c r="AA175" s="232"/>
      <c r="AB175" s="232"/>
      <c r="AC175" s="232"/>
      <c r="AD175" s="232"/>
      <c r="AE175" s="232"/>
      <c r="AF175" s="232"/>
      <c r="AG175" s="232"/>
      <c r="AH175" s="232"/>
      <c r="AI175" s="232"/>
      <c r="AJ175" s="232"/>
      <c r="AK175" s="232"/>
      <c r="AL175" s="232"/>
    </row>
    <row r="176" spans="2:49" ht="15" customHeight="1" x14ac:dyDescent="0.3">
      <c r="B176" s="232"/>
      <c r="C176" s="232"/>
      <c r="D176" s="232"/>
      <c r="E176" s="232"/>
      <c r="F176" s="232"/>
      <c r="G176" s="232"/>
      <c r="H176" s="232"/>
      <c r="I176" s="232"/>
      <c r="J176" s="232"/>
      <c r="K176" s="232"/>
      <c r="L176" s="232"/>
      <c r="M176" s="232"/>
      <c r="N176" s="232"/>
      <c r="O176" s="232"/>
      <c r="P176" s="232"/>
      <c r="Q176" s="232"/>
      <c r="R176" s="232"/>
      <c r="S176" s="232"/>
      <c r="T176" s="232"/>
      <c r="U176" s="232"/>
      <c r="V176" s="232"/>
      <c r="W176" s="232"/>
      <c r="X176" s="232"/>
      <c r="Y176" s="232"/>
      <c r="Z176" s="232"/>
      <c r="AA176" s="232"/>
      <c r="AB176" s="232"/>
      <c r="AC176" s="232"/>
      <c r="AD176" s="232"/>
      <c r="AE176" s="232"/>
      <c r="AF176" s="232"/>
      <c r="AG176" s="232"/>
      <c r="AH176" s="232"/>
      <c r="AI176" s="232"/>
      <c r="AJ176" s="232"/>
      <c r="AK176" s="232"/>
      <c r="AL176" s="232"/>
    </row>
    <row r="177" spans="2:39" ht="15" customHeight="1" x14ac:dyDescent="0.3">
      <c r="D177" s="2" t="s">
        <v>195</v>
      </c>
      <c r="E177" s="201"/>
      <c r="F177" s="201"/>
      <c r="G177" s="201"/>
      <c r="H177" s="201"/>
      <c r="I177" s="201"/>
      <c r="J177" s="201"/>
      <c r="K177" s="201"/>
      <c r="L177" s="201"/>
      <c r="M177" s="201"/>
      <c r="N177" s="201"/>
      <c r="O177" s="201"/>
      <c r="P177" s="201"/>
      <c r="Q177" s="201"/>
      <c r="R177" s="201"/>
      <c r="S177" s="201"/>
      <c r="T177" s="201"/>
      <c r="U177" s="201"/>
      <c r="V177" s="201"/>
      <c r="W177" s="201"/>
      <c r="X177" s="201"/>
      <c r="Y177" s="201"/>
      <c r="AB177" s="2" t="s">
        <v>307</v>
      </c>
      <c r="AC177" s="2"/>
      <c r="AD177" s="2"/>
      <c r="AE177" s="2"/>
    </row>
    <row r="178" spans="2:39" ht="15" customHeight="1" x14ac:dyDescent="0.3">
      <c r="D178" s="2" t="s">
        <v>128</v>
      </c>
      <c r="E178" s="202"/>
      <c r="F178" s="202"/>
      <c r="G178" s="202"/>
      <c r="H178" s="202"/>
      <c r="I178" s="202"/>
      <c r="J178" s="202"/>
      <c r="K178" s="202"/>
      <c r="L178" s="202"/>
      <c r="M178" s="202"/>
      <c r="N178" s="202"/>
      <c r="O178" s="202"/>
      <c r="P178" s="202"/>
      <c r="Q178" s="202"/>
      <c r="R178" s="202"/>
      <c r="S178" s="202"/>
      <c r="T178" s="202"/>
      <c r="U178" s="202"/>
      <c r="V178" s="202"/>
      <c r="W178" s="202"/>
      <c r="X178" s="202"/>
      <c r="Y178" s="202"/>
    </row>
    <row r="179" spans="2:39" ht="15" customHeight="1" x14ac:dyDescent="0.3">
      <c r="D179" s="2" t="s">
        <v>129</v>
      </c>
      <c r="E179" s="202"/>
      <c r="F179" s="202"/>
      <c r="G179" s="202"/>
      <c r="H179" s="202"/>
      <c r="I179" s="202"/>
      <c r="J179" s="202"/>
      <c r="K179" s="202"/>
      <c r="L179" s="202"/>
      <c r="M179" s="202"/>
      <c r="N179" s="202"/>
      <c r="O179" s="202"/>
      <c r="P179" s="202"/>
      <c r="Q179" s="202"/>
      <c r="R179" s="202"/>
      <c r="S179" s="202"/>
      <c r="T179" s="202"/>
      <c r="U179" s="202"/>
      <c r="V179" s="202"/>
      <c r="W179" s="202"/>
      <c r="X179" s="202"/>
      <c r="Y179" s="202"/>
    </row>
    <row r="180" spans="2:39" ht="15" customHeight="1" x14ac:dyDescent="0.3">
      <c r="D180" s="2" t="s">
        <v>264</v>
      </c>
      <c r="E180" s="202"/>
      <c r="F180" s="202"/>
      <c r="G180" s="202"/>
      <c r="H180" s="202"/>
      <c r="I180" s="202"/>
      <c r="J180" s="202"/>
      <c r="K180" s="202"/>
      <c r="L180" s="55"/>
      <c r="M180" s="55"/>
      <c r="N180" s="100" t="s">
        <v>132</v>
      </c>
      <c r="O180" s="202"/>
      <c r="P180" s="202"/>
      <c r="Q180" s="202"/>
      <c r="R180" s="202"/>
      <c r="S180" s="55"/>
      <c r="T180" s="55"/>
      <c r="U180" s="55"/>
      <c r="V180" s="100" t="s">
        <v>133</v>
      </c>
      <c r="W180" s="203"/>
      <c r="X180" s="203"/>
      <c r="Y180" s="203"/>
    </row>
    <row r="181" spans="2:39" ht="15" customHeight="1" x14ac:dyDescent="0.3">
      <c r="D181" s="2" t="s">
        <v>130</v>
      </c>
      <c r="E181" s="204"/>
      <c r="F181" s="204"/>
      <c r="G181" s="204"/>
      <c r="H181" s="204"/>
      <c r="I181" s="204"/>
      <c r="J181" s="204"/>
      <c r="K181" s="204"/>
      <c r="L181" s="204"/>
      <c r="M181" s="204"/>
      <c r="N181" s="204"/>
      <c r="O181" s="204"/>
      <c r="P181" s="204"/>
      <c r="Q181" s="204"/>
      <c r="R181" s="204"/>
      <c r="S181" s="204"/>
      <c r="T181" s="204"/>
      <c r="U181" s="204"/>
      <c r="V181" s="204"/>
      <c r="W181" s="204"/>
      <c r="X181" s="204"/>
      <c r="Y181" s="204"/>
    </row>
    <row r="182" spans="2:39" ht="15" customHeight="1" x14ac:dyDescent="0.3">
      <c r="D182" s="2" t="s">
        <v>134</v>
      </c>
      <c r="E182" s="198"/>
      <c r="F182" s="198"/>
      <c r="G182" s="198"/>
      <c r="H182" s="198"/>
      <c r="I182" s="198"/>
      <c r="U182" s="48"/>
      <c r="V182" s="48"/>
      <c r="W182" s="48"/>
    </row>
    <row r="183" spans="2:39" ht="10.050000000000001" customHeight="1" x14ac:dyDescent="0.3">
      <c r="D183" s="2"/>
      <c r="E183" s="55"/>
      <c r="F183" s="55"/>
      <c r="G183" s="55"/>
      <c r="H183" s="55"/>
      <c r="I183" s="55"/>
      <c r="U183" s="48"/>
      <c r="V183" s="48"/>
      <c r="W183" s="48"/>
    </row>
    <row r="184" spans="2:39" ht="15" customHeight="1" x14ac:dyDescent="0.3">
      <c r="D184" s="2" t="s">
        <v>196</v>
      </c>
      <c r="E184" s="78"/>
      <c r="F184" s="78"/>
      <c r="G184" s="78"/>
      <c r="H184" s="78"/>
      <c r="I184" s="78"/>
      <c r="J184" s="78"/>
      <c r="K184" s="78"/>
      <c r="L184" s="78"/>
      <c r="M184" s="78"/>
      <c r="N184" s="78"/>
      <c r="O184" s="78"/>
      <c r="P184" s="78"/>
      <c r="Q184" s="78"/>
      <c r="R184" s="78"/>
      <c r="S184" s="78"/>
      <c r="T184" s="78"/>
      <c r="U184" s="48"/>
      <c r="V184" s="48"/>
      <c r="W184" s="48"/>
      <c r="AB184" s="2" t="s">
        <v>191</v>
      </c>
      <c r="AC184" s="188"/>
      <c r="AD184" s="188"/>
      <c r="AE184" s="188"/>
      <c r="AF184" s="188"/>
      <c r="AG184" s="188"/>
    </row>
    <row r="185" spans="2:39" ht="15" customHeight="1" x14ac:dyDescent="0.3">
      <c r="H185" s="34"/>
      <c r="I185" s="34"/>
      <c r="J185" s="2"/>
      <c r="K185" s="2"/>
      <c r="L185" s="2"/>
      <c r="M185" s="34"/>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row>
    <row r="186" spans="2:39" ht="15" customHeight="1" x14ac:dyDescent="0.3">
      <c r="H186" s="34"/>
      <c r="I186" s="34"/>
      <c r="J186" s="2"/>
      <c r="K186" s="2"/>
      <c r="L186" s="2"/>
      <c r="M186" s="34"/>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row>
    <row r="187" spans="2:39" ht="15" customHeight="1" x14ac:dyDescent="0.3">
      <c r="H187" s="34"/>
      <c r="I187" s="34"/>
      <c r="J187" s="2"/>
      <c r="K187" s="2"/>
      <c r="L187" s="2"/>
      <c r="M187" s="34"/>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row>
    <row r="188" spans="2:39" ht="15" customHeight="1" x14ac:dyDescent="0.3">
      <c r="B188" s="37" t="s">
        <v>80</v>
      </c>
      <c r="C188" s="50"/>
      <c r="D188" s="50"/>
      <c r="E188" s="50"/>
      <c r="F188" s="50"/>
      <c r="G188" s="50"/>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116" t="s">
        <v>345</v>
      </c>
      <c r="AF188" s="248">
        <f>'Form 2B.1 - Design'!$AE$7</f>
        <v>0</v>
      </c>
      <c r="AG188" s="248"/>
      <c r="AH188" s="248"/>
      <c r="AI188" s="248"/>
      <c r="AJ188" s="248"/>
      <c r="AK188" s="248"/>
      <c r="AL188" s="39"/>
      <c r="AM188" s="14" t="s">
        <v>268</v>
      </c>
    </row>
    <row r="189" spans="2:39" ht="15" customHeight="1" x14ac:dyDescent="0.3">
      <c r="B189" s="40"/>
      <c r="C189" s="9"/>
      <c r="D189" s="9"/>
      <c r="E189" s="9"/>
      <c r="F189" s="9"/>
      <c r="G189" s="9"/>
      <c r="H189" s="9"/>
      <c r="I189" s="9"/>
      <c r="J189" s="9"/>
      <c r="K189" s="41" t="s">
        <v>81</v>
      </c>
      <c r="L189" s="41"/>
      <c r="M189" s="42" t="s">
        <v>212</v>
      </c>
      <c r="N189" s="41"/>
      <c r="O189" s="41"/>
      <c r="P189" s="42"/>
      <c r="Q189" s="9"/>
      <c r="R189" s="9"/>
      <c r="S189" s="9"/>
      <c r="T189" s="9"/>
      <c r="U189" s="9"/>
      <c r="V189" s="9"/>
      <c r="W189" s="9"/>
      <c r="X189" s="9"/>
      <c r="Y189" s="9"/>
      <c r="Z189" s="9"/>
      <c r="AA189" s="9"/>
      <c r="AB189" s="9"/>
      <c r="AC189" s="9"/>
      <c r="AD189" s="9"/>
      <c r="AE189" s="9"/>
      <c r="AF189" s="9"/>
      <c r="AG189" s="9"/>
      <c r="AH189" s="9"/>
      <c r="AI189" s="9"/>
      <c r="AJ189" s="9"/>
      <c r="AK189" s="9"/>
      <c r="AL189" s="43"/>
      <c r="AM189" s="87">
        <f>SUM(AM190:AM212)</f>
        <v>12</v>
      </c>
    </row>
    <row r="190" spans="2:39" ht="15" customHeight="1" x14ac:dyDescent="0.3">
      <c r="B190" s="40"/>
      <c r="C190" s="9"/>
      <c r="D190" s="9"/>
      <c r="E190" s="9"/>
      <c r="F190" s="9"/>
      <c r="G190" s="9"/>
      <c r="H190" s="9"/>
      <c r="I190" s="9"/>
      <c r="J190" s="9"/>
      <c r="K190" s="10" t="s">
        <v>84</v>
      </c>
      <c r="L190" s="10"/>
      <c r="M190" s="9" t="str">
        <f>IF(AM68&lt;6,Tables!J4,"")</f>
        <v>Emergency Spillway Section not completed</v>
      </c>
      <c r="N190" s="10"/>
      <c r="O190" s="10"/>
      <c r="P190" s="9"/>
      <c r="Q190" s="9"/>
      <c r="R190" s="9"/>
      <c r="S190" s="9"/>
      <c r="T190" s="9"/>
      <c r="U190" s="9"/>
      <c r="V190" s="9"/>
      <c r="W190" s="9"/>
      <c r="X190" s="9"/>
      <c r="Y190" s="9"/>
      <c r="Z190" s="9"/>
      <c r="AA190" s="9"/>
      <c r="AB190" s="9"/>
      <c r="AC190" s="9"/>
      <c r="AD190" s="9"/>
      <c r="AE190" s="9"/>
      <c r="AF190" s="9"/>
      <c r="AG190" s="9"/>
      <c r="AH190" s="9"/>
      <c r="AI190" s="9"/>
      <c r="AJ190" s="9"/>
      <c r="AK190" s="9"/>
      <c r="AL190" s="43"/>
      <c r="AM190" s="87">
        <f t="shared" ref="AM190:AM210" si="16">IF(M190="",0,1)</f>
        <v>1</v>
      </c>
    </row>
    <row r="191" spans="2:39" ht="15" customHeight="1" x14ac:dyDescent="0.3">
      <c r="B191" s="40"/>
      <c r="C191" s="9"/>
      <c r="D191" s="9"/>
      <c r="E191" s="9"/>
      <c r="F191" s="9"/>
      <c r="G191" s="9"/>
      <c r="H191" s="9"/>
      <c r="I191" s="9"/>
      <c r="J191" s="9"/>
      <c r="K191" s="10" t="s">
        <v>262</v>
      </c>
      <c r="L191" s="10"/>
      <c r="M191" s="9" t="str">
        <f>IF(OR(AO124&lt;1,AO125&lt;1),Tables!J11,"")</f>
        <v>Freeboard  &lt;  1.0 ft</v>
      </c>
      <c r="N191" s="10"/>
      <c r="O191" s="10"/>
      <c r="P191" s="9"/>
      <c r="Q191" s="9"/>
      <c r="R191" s="9"/>
      <c r="S191" s="9"/>
      <c r="T191" s="9"/>
      <c r="U191" s="9"/>
      <c r="V191" s="9"/>
      <c r="W191" s="9"/>
      <c r="X191" s="9"/>
      <c r="Y191" s="9"/>
      <c r="Z191" s="9"/>
      <c r="AA191" s="9"/>
      <c r="AB191" s="9"/>
      <c r="AC191" s="9"/>
      <c r="AD191" s="9"/>
      <c r="AE191" s="9"/>
      <c r="AF191" s="9"/>
      <c r="AG191" s="9"/>
      <c r="AH191" s="9"/>
      <c r="AI191" s="9"/>
      <c r="AJ191" s="9"/>
      <c r="AK191" s="9"/>
      <c r="AL191" s="43"/>
      <c r="AM191" s="87">
        <f t="shared" si="16"/>
        <v>1</v>
      </c>
    </row>
    <row r="192" spans="2:39" ht="15" customHeight="1" x14ac:dyDescent="0.3">
      <c r="B192" s="40"/>
      <c r="C192" s="9"/>
      <c r="D192" s="9"/>
      <c r="E192" s="9"/>
      <c r="F192" s="9"/>
      <c r="G192" s="9"/>
      <c r="H192" s="9"/>
      <c r="I192" s="9"/>
      <c r="J192" s="9"/>
      <c r="K192" s="10" t="s">
        <v>107</v>
      </c>
      <c r="L192" s="10"/>
      <c r="M192" s="9" t="str">
        <f>IF(AO75&lt;2,Tables!J8,"")</f>
        <v>Latitude and/or Longitude not provided</v>
      </c>
      <c r="N192" s="10"/>
      <c r="O192" s="10"/>
      <c r="P192" s="9"/>
      <c r="Q192" s="9"/>
      <c r="R192" s="9"/>
      <c r="S192" s="9"/>
      <c r="T192" s="9"/>
      <c r="U192" s="9"/>
      <c r="V192" s="9"/>
      <c r="W192" s="9"/>
      <c r="X192" s="9"/>
      <c r="Y192" s="9"/>
      <c r="Z192" s="9"/>
      <c r="AA192" s="9"/>
      <c r="AB192" s="9"/>
      <c r="AC192" s="9"/>
      <c r="AD192" s="9"/>
      <c r="AE192" s="9"/>
      <c r="AF192" s="9"/>
      <c r="AG192" s="9"/>
      <c r="AH192" s="9"/>
      <c r="AI192" s="9"/>
      <c r="AJ192" s="9"/>
      <c r="AK192" s="9"/>
      <c r="AL192" s="43"/>
      <c r="AM192" s="87">
        <f t="shared" si="16"/>
        <v>1</v>
      </c>
    </row>
    <row r="193" spans="2:46" ht="15" customHeight="1" x14ac:dyDescent="0.3">
      <c r="B193" s="40"/>
      <c r="C193" s="9"/>
      <c r="D193" s="9"/>
      <c r="E193" s="9"/>
      <c r="F193" s="9"/>
      <c r="G193" s="9"/>
      <c r="H193" s="9"/>
      <c r="I193" s="9"/>
      <c r="J193" s="9"/>
      <c r="K193" s="10"/>
      <c r="L193" s="10"/>
      <c r="M193" s="9" t="str">
        <f>IF(AND(AS74=1,AS75=1),Tables!$J$14,IF(OR(AS74=3,AS75=3),Tables!$J$14,""))</f>
        <v>Latitude and/or Longitude has been entered as text.  Change to a number.</v>
      </c>
      <c r="N193" s="10"/>
      <c r="O193" s="10"/>
      <c r="P193" s="9"/>
      <c r="Q193" s="9"/>
      <c r="R193" s="9"/>
      <c r="S193" s="9"/>
      <c r="T193" s="9"/>
      <c r="U193" s="9"/>
      <c r="V193" s="9"/>
      <c r="W193" s="9"/>
      <c r="X193" s="9"/>
      <c r="Y193" s="9"/>
      <c r="Z193" s="9"/>
      <c r="AA193" s="9"/>
      <c r="AB193" s="9"/>
      <c r="AC193" s="9"/>
      <c r="AD193" s="9"/>
      <c r="AE193" s="9"/>
      <c r="AF193" s="9"/>
      <c r="AG193" s="9"/>
      <c r="AH193" s="9"/>
      <c r="AI193" s="9"/>
      <c r="AJ193" s="9"/>
      <c r="AK193" s="9"/>
      <c r="AL193" s="43"/>
      <c r="AM193" s="87">
        <f t="shared" si="16"/>
        <v>1</v>
      </c>
    </row>
    <row r="194" spans="2:46" ht="15" customHeight="1" x14ac:dyDescent="0.3">
      <c r="B194" s="40"/>
      <c r="C194" s="9"/>
      <c r="D194" s="9"/>
      <c r="E194" s="9"/>
      <c r="F194" s="9"/>
      <c r="G194" s="9"/>
      <c r="H194" s="9"/>
      <c r="I194" s="9"/>
      <c r="J194" s="9"/>
      <c r="K194" s="10" t="s">
        <v>141</v>
      </c>
      <c r="L194" s="10"/>
      <c r="M194" s="9" t="str">
        <f>IF(AO80=2,Tables!J9,IF(AO79=1,"",Tables!J9))</f>
        <v>WQv Required &gt; WQv Provided</v>
      </c>
      <c r="N194" s="10"/>
      <c r="O194" s="10"/>
      <c r="P194" s="9"/>
      <c r="Q194" s="9"/>
      <c r="R194" s="9"/>
      <c r="S194" s="9"/>
      <c r="T194" s="9"/>
      <c r="U194" s="9"/>
      <c r="V194" s="9"/>
      <c r="W194" s="9"/>
      <c r="X194" s="9"/>
      <c r="Y194" s="9"/>
      <c r="Z194" s="9"/>
      <c r="AA194" s="9"/>
      <c r="AB194" s="9"/>
      <c r="AC194" s="9"/>
      <c r="AD194" s="9"/>
      <c r="AE194" s="9"/>
      <c r="AF194" s="9"/>
      <c r="AG194" s="9"/>
      <c r="AH194" s="9"/>
      <c r="AI194" s="9"/>
      <c r="AJ194" s="9"/>
      <c r="AK194" s="9"/>
      <c r="AL194" s="43"/>
      <c r="AM194" s="87">
        <f t="shared" si="16"/>
        <v>1</v>
      </c>
    </row>
    <row r="195" spans="2:46" ht="15" customHeight="1" x14ac:dyDescent="0.3">
      <c r="B195" s="40"/>
      <c r="C195" s="9"/>
      <c r="D195" s="9"/>
      <c r="E195" s="9"/>
      <c r="F195" s="9"/>
      <c r="G195" s="9"/>
      <c r="H195" s="9"/>
      <c r="I195" s="9"/>
      <c r="J195" s="9"/>
      <c r="K195" s="98" t="s">
        <v>85</v>
      </c>
      <c r="L195" s="10"/>
      <c r="M195" s="9"/>
      <c r="N195" s="10"/>
      <c r="O195" s="10"/>
      <c r="P195" s="9"/>
      <c r="Q195" s="9"/>
      <c r="R195" s="9"/>
      <c r="S195" s="9"/>
      <c r="T195" s="9"/>
      <c r="U195" s="9"/>
      <c r="V195" s="9"/>
      <c r="W195" s="9"/>
      <c r="X195" s="9"/>
      <c r="Y195" s="9"/>
      <c r="Z195" s="9"/>
      <c r="AA195" s="9"/>
      <c r="AB195" s="9"/>
      <c r="AC195" s="9"/>
      <c r="AD195" s="9"/>
      <c r="AE195" s="9"/>
      <c r="AF195" s="9"/>
      <c r="AG195" s="9"/>
      <c r="AH195" s="9"/>
      <c r="AI195" s="9"/>
      <c r="AJ195" s="9"/>
      <c r="AK195" s="9"/>
      <c r="AL195" s="43"/>
      <c r="AM195" s="87">
        <f t="shared" si="16"/>
        <v>0</v>
      </c>
    </row>
    <row r="196" spans="2:46" ht="15" customHeight="1" x14ac:dyDescent="0.3">
      <c r="B196" s="40"/>
      <c r="C196" s="9"/>
      <c r="D196" s="9"/>
      <c r="E196" s="9"/>
      <c r="F196" s="9"/>
      <c r="G196" s="9"/>
      <c r="H196" s="9"/>
      <c r="I196" s="9"/>
      <c r="J196" s="9"/>
      <c r="K196" s="10" t="s">
        <v>146</v>
      </c>
      <c r="L196" s="10"/>
      <c r="M196" s="9" t="str">
        <f>IF(AM119&gt;0,Tables!J10,"")</f>
        <v>As-Built does not match Design, provide a reason in the Comments section</v>
      </c>
      <c r="N196" s="10"/>
      <c r="O196" s="10"/>
      <c r="P196" s="9"/>
      <c r="Q196" s="9"/>
      <c r="R196" s="9"/>
      <c r="S196" s="9"/>
      <c r="T196" s="9"/>
      <c r="U196" s="9"/>
      <c r="V196" s="9"/>
      <c r="W196" s="9"/>
      <c r="X196" s="9"/>
      <c r="Y196" s="9"/>
      <c r="Z196" s="9"/>
      <c r="AA196" s="9"/>
      <c r="AB196" s="9"/>
      <c r="AC196" s="9"/>
      <c r="AD196" s="9"/>
      <c r="AE196" s="9"/>
      <c r="AF196" s="9"/>
      <c r="AG196" s="9"/>
      <c r="AH196" s="9"/>
      <c r="AI196" s="9"/>
      <c r="AJ196" s="9"/>
      <c r="AK196" s="9"/>
      <c r="AL196" s="43"/>
      <c r="AM196" s="87">
        <f t="shared" si="16"/>
        <v>1</v>
      </c>
    </row>
    <row r="197" spans="2:46" ht="15" customHeight="1" x14ac:dyDescent="0.3">
      <c r="B197" s="44"/>
      <c r="C197" s="45"/>
      <c r="D197" s="45"/>
      <c r="E197" s="45"/>
      <c r="F197" s="45"/>
      <c r="G197" s="45"/>
      <c r="H197" s="45"/>
      <c r="I197" s="45"/>
      <c r="J197" s="45"/>
      <c r="K197" s="46" t="s">
        <v>147</v>
      </c>
      <c r="L197" s="46"/>
      <c r="M197" s="45" t="str">
        <f>IF(AN119&gt;0,Tables!J10,"")</f>
        <v>As-Built does not match Design, provide a reason in the Comments section</v>
      </c>
      <c r="N197" s="46"/>
      <c r="O197" s="46"/>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7"/>
      <c r="AM197" s="87">
        <f t="shared" si="16"/>
        <v>1</v>
      </c>
    </row>
    <row r="198" spans="2:46" ht="15" customHeight="1" x14ac:dyDescent="0.3">
      <c r="K198" s="2"/>
      <c r="L198" s="2"/>
      <c r="N198" s="2"/>
      <c r="O198" s="2"/>
      <c r="AM198" s="4"/>
      <c r="AN198" s="21"/>
      <c r="AO198" s="4"/>
      <c r="AP198" s="4"/>
      <c r="AQ198" s="4"/>
      <c r="AR198" s="4"/>
      <c r="AS198" s="4"/>
      <c r="AT198" s="4"/>
    </row>
    <row r="199" spans="2:46" ht="15" customHeight="1" x14ac:dyDescent="0.3">
      <c r="K199" s="2"/>
      <c r="L199" s="2"/>
      <c r="N199" s="2"/>
      <c r="O199" s="2"/>
      <c r="AM199" s="4"/>
      <c r="AN199" s="21"/>
      <c r="AO199" s="4"/>
      <c r="AP199" s="4"/>
      <c r="AQ199" s="4"/>
      <c r="AR199" s="4"/>
      <c r="AS199" s="4"/>
      <c r="AT199" s="4"/>
    </row>
    <row r="200" spans="2:46" ht="15" customHeight="1" x14ac:dyDescent="0.3">
      <c r="AK200" s="25"/>
      <c r="AM200" s="4"/>
      <c r="AN200" s="21"/>
      <c r="AO200" s="4"/>
      <c r="AP200" s="4"/>
      <c r="AQ200" s="4"/>
      <c r="AR200" s="4"/>
      <c r="AS200" s="4"/>
      <c r="AT200" s="4"/>
    </row>
    <row r="201" spans="2:46" ht="15" customHeight="1" x14ac:dyDescent="0.3">
      <c r="B201" s="200">
        <f>Tables!$F$13</f>
        <v>46266</v>
      </c>
      <c r="C201" s="200"/>
      <c r="D201" s="200"/>
      <c r="E201" s="200"/>
      <c r="F201" s="200"/>
      <c r="G201" s="200"/>
      <c r="H201" s="200"/>
      <c r="R201" s="186" t="s">
        <v>405</v>
      </c>
      <c r="S201" s="186"/>
      <c r="T201" s="186"/>
      <c r="U201" s="186"/>
      <c r="AK201" s="25"/>
      <c r="AM201" s="4"/>
      <c r="AN201" s="21"/>
      <c r="AO201" s="4"/>
      <c r="AP201" s="4"/>
      <c r="AQ201" s="4"/>
      <c r="AR201" s="4"/>
      <c r="AS201" s="4"/>
      <c r="AT201" s="4"/>
    </row>
    <row r="202" spans="2:46" ht="15" customHeight="1" x14ac:dyDescent="0.3">
      <c r="C202" s="2" t="s">
        <v>1</v>
      </c>
      <c r="D202" s="199">
        <f>IF(ISBLANK($E$7),"",$E$7)</f>
        <v>0</v>
      </c>
      <c r="E202" s="199"/>
      <c r="F202" s="199"/>
      <c r="G202" s="199"/>
      <c r="H202" s="199"/>
      <c r="I202" s="199"/>
      <c r="J202" s="199"/>
      <c r="K202" s="199"/>
      <c r="L202" s="199"/>
      <c r="M202" s="199"/>
      <c r="N202" s="199"/>
      <c r="O202" s="199"/>
      <c r="P202" s="199"/>
      <c r="Q202" s="199"/>
      <c r="R202" s="199"/>
      <c r="S202" s="199"/>
      <c r="T202" s="199"/>
      <c r="U202" s="199"/>
      <c r="V202" s="199"/>
      <c r="W202" s="199"/>
      <c r="X202" s="199"/>
      <c r="Y202" s="199"/>
      <c r="Z202" s="199"/>
      <c r="AA202" s="33"/>
      <c r="AB202" s="33"/>
      <c r="AC202" s="33"/>
      <c r="AF202" s="2" t="s">
        <v>19</v>
      </c>
      <c r="AG202" s="179">
        <f>$AF$7</f>
        <v>0</v>
      </c>
      <c r="AH202" s="179"/>
      <c r="AI202" s="179"/>
      <c r="AJ202" s="179"/>
      <c r="AK202" s="179"/>
      <c r="AM202" s="4"/>
      <c r="AN202" s="21"/>
      <c r="AO202" s="4"/>
      <c r="AP202" s="4"/>
      <c r="AQ202" s="4"/>
      <c r="AR202" s="4"/>
      <c r="AS202" s="4"/>
      <c r="AT202" s="4"/>
    </row>
    <row r="203" spans="2:46" ht="15" customHeight="1" x14ac:dyDescent="0.3">
      <c r="H203" s="34"/>
      <c r="I203" s="34"/>
      <c r="J203" s="2"/>
      <c r="K203" s="2"/>
      <c r="L203" s="2"/>
      <c r="M203" s="34"/>
      <c r="N203" s="33"/>
      <c r="O203" s="33"/>
      <c r="P203" s="33"/>
      <c r="Q203" s="33"/>
      <c r="R203" s="33"/>
      <c r="S203" s="33"/>
      <c r="T203" s="33"/>
      <c r="U203" s="33"/>
      <c r="V203" s="33"/>
      <c r="W203" s="33"/>
      <c r="X203" s="33"/>
      <c r="Y203" s="33"/>
      <c r="Z203" s="33"/>
      <c r="AA203" s="33"/>
      <c r="AB203" s="33"/>
      <c r="AC203" s="33"/>
      <c r="AF203" s="2" t="s">
        <v>32</v>
      </c>
      <c r="AG203" s="229">
        <f>IF(ISBLANK($AF$8),"",$AF$8)</f>
        <v>0</v>
      </c>
      <c r="AH203" s="229"/>
      <c r="AI203" s="229"/>
      <c r="AJ203" s="229"/>
      <c r="AK203" s="229"/>
      <c r="AM203" s="4"/>
      <c r="AN203" s="21"/>
      <c r="AO203" s="4"/>
      <c r="AP203" s="4"/>
      <c r="AQ203" s="4"/>
      <c r="AR203" s="4"/>
      <c r="AS203" s="4"/>
      <c r="AT203" s="4"/>
    </row>
    <row r="204" spans="2:46" ht="15" customHeight="1" x14ac:dyDescent="0.3">
      <c r="K204" s="2"/>
      <c r="L204" s="2"/>
      <c r="N204" s="2"/>
      <c r="O204" s="2"/>
      <c r="AM204" s="4"/>
      <c r="AN204" s="21"/>
      <c r="AO204" s="4"/>
      <c r="AP204" s="4"/>
      <c r="AQ204" s="4"/>
      <c r="AR204" s="4"/>
      <c r="AS204" s="4"/>
      <c r="AT204" s="4"/>
    </row>
    <row r="205" spans="2:46" ht="15" customHeight="1" x14ac:dyDescent="0.3">
      <c r="B205" s="37" t="s">
        <v>403</v>
      </c>
      <c r="C205" s="50"/>
      <c r="D205" s="50"/>
      <c r="E205" s="50"/>
      <c r="F205" s="50"/>
      <c r="G205" s="50"/>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9"/>
      <c r="AM205" s="87"/>
    </row>
    <row r="206" spans="2:46" ht="15" customHeight="1" x14ac:dyDescent="0.3">
      <c r="B206" s="40"/>
      <c r="C206" s="9"/>
      <c r="D206" s="9"/>
      <c r="E206" s="9"/>
      <c r="F206" s="9"/>
      <c r="G206" s="9"/>
      <c r="H206" s="9"/>
      <c r="I206" s="9"/>
      <c r="J206" s="9"/>
      <c r="K206" s="10" t="s">
        <v>79</v>
      </c>
      <c r="L206" s="10"/>
      <c r="M206" s="9" t="str">
        <f>IF(AO119&gt;0,Tables!J7,"")</f>
        <v>Max Stage for 2, 5, 10, 25, and/or 50-year storm  &gt; emergency spillway crest elevation</v>
      </c>
      <c r="N206" s="10"/>
      <c r="O206" s="10"/>
      <c r="P206" s="9"/>
      <c r="Q206" s="9"/>
      <c r="R206" s="9"/>
      <c r="S206" s="9"/>
      <c r="T206" s="9"/>
      <c r="U206" s="9"/>
      <c r="V206" s="9"/>
      <c r="W206" s="9"/>
      <c r="X206" s="9"/>
      <c r="Y206" s="9"/>
      <c r="Z206" s="9"/>
      <c r="AA206" s="9"/>
      <c r="AB206" s="9"/>
      <c r="AC206" s="9"/>
      <c r="AD206" s="9"/>
      <c r="AE206" s="9"/>
      <c r="AF206" s="9"/>
      <c r="AG206" s="9"/>
      <c r="AH206" s="9"/>
      <c r="AI206" s="9"/>
      <c r="AJ206" s="9"/>
      <c r="AK206" s="9"/>
      <c r="AL206" s="43"/>
      <c r="AM206" s="87">
        <f t="shared" si="16"/>
        <v>1</v>
      </c>
    </row>
    <row r="207" spans="2:46" ht="15" customHeight="1" x14ac:dyDescent="0.3">
      <c r="B207" s="40"/>
      <c r="C207" s="9"/>
      <c r="D207" s="9"/>
      <c r="E207" s="9"/>
      <c r="F207" s="9"/>
      <c r="G207" s="9"/>
      <c r="H207" s="9"/>
      <c r="I207" s="9"/>
      <c r="J207" s="9"/>
      <c r="K207" s="10" t="s">
        <v>225</v>
      </c>
      <c r="L207" s="10"/>
      <c r="M207" s="9" t="str">
        <f>IF(AT119&gt;0,Tables!J18,"")</f>
        <v>Outlet Control Structure Velocity &gt; 6 ft/s</v>
      </c>
      <c r="N207" s="10"/>
      <c r="O207" s="10"/>
      <c r="P207" s="9"/>
      <c r="Q207" s="9"/>
      <c r="R207" s="9"/>
      <c r="S207" s="9"/>
      <c r="T207" s="9"/>
      <c r="U207" s="9"/>
      <c r="V207" s="9"/>
      <c r="W207" s="9"/>
      <c r="X207" s="9"/>
      <c r="Y207" s="9"/>
      <c r="Z207" s="9"/>
      <c r="AA207" s="9"/>
      <c r="AB207" s="9"/>
      <c r="AC207" s="9"/>
      <c r="AD207" s="9"/>
      <c r="AE207" s="9"/>
      <c r="AF207" s="9"/>
      <c r="AG207" s="9"/>
      <c r="AH207" s="9"/>
      <c r="AI207" s="9"/>
      <c r="AJ207" s="9"/>
      <c r="AK207" s="9"/>
      <c r="AL207" s="43"/>
      <c r="AM207" s="87">
        <f t="shared" si="16"/>
        <v>1</v>
      </c>
    </row>
    <row r="208" spans="2:46" ht="15" customHeight="1" x14ac:dyDescent="0.3">
      <c r="B208" s="40"/>
      <c r="C208" s="9"/>
      <c r="D208" s="9"/>
      <c r="E208" s="9"/>
      <c r="F208" s="9"/>
      <c r="G208" s="9"/>
      <c r="H208" s="9"/>
      <c r="I208" s="9"/>
      <c r="J208" s="9"/>
      <c r="K208" s="10"/>
      <c r="L208" s="10"/>
      <c r="M208" s="9" t="str">
        <f>IF(AP119&gt;0,Tables!J6,"")</f>
        <v>Emergency Spillway Velocity &gt; 6 ft/s</v>
      </c>
      <c r="N208" s="10"/>
      <c r="O208" s="10"/>
      <c r="P208" s="9"/>
      <c r="Q208" s="9"/>
      <c r="R208" s="9"/>
      <c r="S208" s="9"/>
      <c r="T208" s="9"/>
      <c r="U208" s="9"/>
      <c r="V208" s="9"/>
      <c r="W208" s="9"/>
      <c r="X208" s="9"/>
      <c r="Y208" s="9"/>
      <c r="Z208" s="9"/>
      <c r="AA208" s="9"/>
      <c r="AB208" s="9"/>
      <c r="AC208" s="9"/>
      <c r="AD208" s="9"/>
      <c r="AE208" s="9"/>
      <c r="AF208" s="9"/>
      <c r="AG208" s="9"/>
      <c r="AH208" s="9"/>
      <c r="AI208" s="9"/>
      <c r="AJ208" s="9"/>
      <c r="AK208" s="9"/>
      <c r="AL208" s="43"/>
      <c r="AM208" s="87">
        <f>IF(M208="",0,1)</f>
        <v>1</v>
      </c>
    </row>
    <row r="209" spans="2:39" ht="15" customHeight="1" x14ac:dyDescent="0.3">
      <c r="B209" s="40"/>
      <c r="C209" s="9"/>
      <c r="D209" s="9"/>
      <c r="E209" s="9"/>
      <c r="F209" s="9"/>
      <c r="G209" s="9"/>
      <c r="H209" s="9"/>
      <c r="I209" s="9"/>
      <c r="J209" s="9"/>
      <c r="K209" s="10" t="s">
        <v>86</v>
      </c>
      <c r="L209" s="10"/>
      <c r="M209" s="9" t="str">
        <f>IF(OR(AQ119&gt;0,AS119&gt;0),Tables!J5,"")</f>
        <v>Total Post Q &gt; Pre Q</v>
      </c>
      <c r="N209" s="10"/>
      <c r="O209" s="10"/>
      <c r="P209" s="9"/>
      <c r="Q209" s="9"/>
      <c r="R209" s="9"/>
      <c r="S209" s="9"/>
      <c r="T209" s="9"/>
      <c r="U209" s="9"/>
      <c r="V209" s="9"/>
      <c r="W209" s="9"/>
      <c r="X209" s="9"/>
      <c r="Y209" s="9"/>
      <c r="Z209" s="9"/>
      <c r="AA209" s="9"/>
      <c r="AB209" s="9"/>
      <c r="AC209" s="9"/>
      <c r="AD209" s="9"/>
      <c r="AE209" s="9"/>
      <c r="AF209" s="9"/>
      <c r="AG209" s="9"/>
      <c r="AH209" s="9"/>
      <c r="AI209" s="9"/>
      <c r="AJ209" s="9"/>
      <c r="AK209" s="9"/>
      <c r="AL209" s="43"/>
      <c r="AM209" s="87">
        <f t="shared" si="16"/>
        <v>1</v>
      </c>
    </row>
    <row r="210" spans="2:39" ht="15" customHeight="1" x14ac:dyDescent="0.3">
      <c r="B210" s="40"/>
      <c r="C210" s="9"/>
      <c r="D210" s="9"/>
      <c r="E210" s="9"/>
      <c r="F210" s="9"/>
      <c r="G210" s="9"/>
      <c r="H210" s="9"/>
      <c r="I210" s="9"/>
      <c r="J210" s="9"/>
      <c r="K210" s="10"/>
      <c r="L210" s="10"/>
      <c r="M210" s="9" t="str">
        <f>IF(AQ113="yes",IF(AND(ISBLANK('Form 2B.1 - Design'!$C$125),ISBLANK('Form 2B.1 - Design'!$F$125)),Tables!$J$15,IF(AND($AQ$119&gt;0,$AP$113=2),Tables!$J$15,"")),"")</f>
        <v/>
      </c>
      <c r="N210" s="10"/>
      <c r="O210" s="10"/>
      <c r="P210" s="9"/>
      <c r="Q210" s="9"/>
      <c r="R210" s="9"/>
      <c r="S210" s="9"/>
      <c r="T210" s="9"/>
      <c r="U210" s="9"/>
      <c r="V210" s="9"/>
      <c r="W210" s="9"/>
      <c r="X210" s="9"/>
      <c r="Y210" s="9"/>
      <c r="Z210" s="9"/>
      <c r="AA210" s="9"/>
      <c r="AB210" s="9"/>
      <c r="AC210" s="9"/>
      <c r="AD210" s="9"/>
      <c r="AE210" s="9"/>
      <c r="AF210" s="9"/>
      <c r="AG210" s="9"/>
      <c r="AH210" s="9"/>
      <c r="AI210" s="9"/>
      <c r="AJ210" s="9"/>
      <c r="AK210" s="9"/>
      <c r="AL210" s="43"/>
      <c r="AM210" s="87">
        <f t="shared" si="16"/>
        <v>0</v>
      </c>
    </row>
    <row r="211" spans="2:39" ht="15" customHeight="1" x14ac:dyDescent="0.3">
      <c r="B211" s="40"/>
      <c r="C211" s="9"/>
      <c r="D211" s="9"/>
      <c r="E211" s="9"/>
      <c r="F211" s="9"/>
      <c r="G211" s="9"/>
      <c r="H211" s="9"/>
      <c r="I211" s="9"/>
      <c r="J211" s="9"/>
      <c r="K211" s="10"/>
      <c r="L211" s="10"/>
      <c r="M211" s="9" t="str">
        <f>IF(AQ114="Yes",IF(AND(ISBLANK('Form 2B.1 - Design'!$C$127),ISBLANK('Form 2B.1 - Design'!$F$127)),Tables!$J$16,IF(AND($AR$119&gt;0,$AP$114=2),Tables!$J$16,"")),"")</f>
        <v/>
      </c>
      <c r="N211" s="10"/>
      <c r="O211" s="10"/>
      <c r="P211" s="9"/>
      <c r="Q211" s="9"/>
      <c r="R211" s="9"/>
      <c r="S211" s="9"/>
      <c r="T211" s="9"/>
      <c r="U211" s="9"/>
      <c r="V211" s="9"/>
      <c r="W211" s="9"/>
      <c r="X211" s="9"/>
      <c r="Y211" s="9"/>
      <c r="Z211" s="9"/>
      <c r="AA211" s="9"/>
      <c r="AB211" s="9"/>
      <c r="AC211" s="9"/>
      <c r="AD211" s="9"/>
      <c r="AE211" s="9"/>
      <c r="AF211" s="9"/>
      <c r="AG211" s="9"/>
      <c r="AH211" s="9"/>
      <c r="AI211" s="9"/>
      <c r="AJ211" s="9"/>
      <c r="AK211" s="9"/>
      <c r="AL211" s="43"/>
      <c r="AM211" s="87">
        <f>IF(M211="",0,1)</f>
        <v>0</v>
      </c>
    </row>
    <row r="212" spans="2:39" ht="15" customHeight="1" x14ac:dyDescent="0.3">
      <c r="B212" s="44"/>
      <c r="C212" s="45"/>
      <c r="D212" s="45"/>
      <c r="E212" s="45"/>
      <c r="F212" s="45"/>
      <c r="G212" s="45"/>
      <c r="H212" s="45"/>
      <c r="I212" s="45"/>
      <c r="J212" s="45"/>
      <c r="K212" s="106" t="s">
        <v>352</v>
      </c>
      <c r="L212" s="46"/>
      <c r="M212" s="107" t="str">
        <f>IF(AM156=6,Tables!J17,IF(AP156&gt;0,Tables!J17,0))</f>
        <v>All required photographs are not provided</v>
      </c>
      <c r="N212" s="46"/>
      <c r="O212" s="46"/>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7"/>
      <c r="AM212" s="87">
        <f>IF(M212="",0,1)</f>
        <v>1</v>
      </c>
    </row>
    <row r="213" spans="2:39" ht="15" customHeight="1" x14ac:dyDescent="0.3"/>
    <row r="214" spans="2:39" ht="15" customHeight="1" x14ac:dyDescent="0.3"/>
    <row r="215" spans="2:39" ht="15" customHeight="1" x14ac:dyDescent="0.3"/>
    <row r="216" spans="2:39" ht="15" customHeight="1" x14ac:dyDescent="0.3"/>
    <row r="217" spans="2:39" ht="15" customHeight="1" x14ac:dyDescent="0.3"/>
    <row r="218" spans="2:39" ht="15" customHeight="1" x14ac:dyDescent="0.3"/>
    <row r="219" spans="2:39" ht="15" customHeight="1" x14ac:dyDescent="0.3"/>
    <row r="220" spans="2:39" ht="15" customHeight="1" x14ac:dyDescent="0.3"/>
    <row r="221" spans="2:39" ht="15" customHeight="1" x14ac:dyDescent="0.3"/>
    <row r="222" spans="2:39" ht="15" customHeight="1" x14ac:dyDescent="0.3"/>
    <row r="223" spans="2:39" ht="15" customHeight="1" x14ac:dyDescent="0.3"/>
    <row r="224" spans="2:39" ht="15" customHeight="1" x14ac:dyDescent="0.3"/>
    <row r="225" ht="15" customHeight="1" x14ac:dyDescent="0.3"/>
    <row r="226" ht="15" customHeight="1" x14ac:dyDescent="0.3"/>
    <row r="227" ht="15" customHeight="1" x14ac:dyDescent="0.3"/>
    <row r="228" ht="15" customHeight="1" x14ac:dyDescent="0.3"/>
    <row r="229" ht="15" customHeight="1" x14ac:dyDescent="0.3"/>
    <row r="230" ht="15" customHeight="1" x14ac:dyDescent="0.3"/>
    <row r="231" ht="15" customHeight="1" x14ac:dyDescent="0.3"/>
    <row r="232" ht="15" customHeight="1" x14ac:dyDescent="0.3"/>
    <row r="233" ht="15" customHeight="1" x14ac:dyDescent="0.3"/>
    <row r="234" ht="15" customHeight="1" x14ac:dyDescent="0.3"/>
    <row r="235" ht="15" customHeight="1" x14ac:dyDescent="0.3"/>
    <row r="236" ht="15" customHeight="1" x14ac:dyDescent="0.3"/>
    <row r="237" ht="15" customHeight="1" x14ac:dyDescent="0.3"/>
    <row r="238" ht="15" customHeight="1" x14ac:dyDescent="0.3"/>
    <row r="239" ht="15" customHeight="1" x14ac:dyDescent="0.3"/>
    <row r="240" ht="15" customHeight="1" x14ac:dyDescent="0.3"/>
    <row r="241" spans="2:37" ht="15" customHeight="1" x14ac:dyDescent="0.3"/>
    <row r="242" spans="2:37" ht="15" customHeight="1" x14ac:dyDescent="0.3"/>
    <row r="243" spans="2:37" ht="15" customHeight="1" x14ac:dyDescent="0.3"/>
    <row r="244" spans="2:37" ht="15" customHeight="1" x14ac:dyDescent="0.3"/>
    <row r="245" spans="2:37" ht="15" customHeight="1" x14ac:dyDescent="0.3">
      <c r="B245" s="200">
        <f>Tables!$F$13</f>
        <v>46266</v>
      </c>
      <c r="C245" s="200"/>
      <c r="D245" s="200"/>
      <c r="E245" s="200"/>
      <c r="F245" s="200"/>
      <c r="G245" s="200"/>
      <c r="H245" s="200"/>
      <c r="R245" s="186" t="s">
        <v>404</v>
      </c>
      <c r="S245" s="186"/>
      <c r="T245" s="186"/>
      <c r="U245" s="186"/>
      <c r="AK245" s="25"/>
    </row>
    <row r="246" spans="2:37" ht="15" customHeight="1" x14ac:dyDescent="0.3"/>
    <row r="247" spans="2:37" ht="15" customHeight="1" x14ac:dyDescent="0.3"/>
    <row r="248" spans="2:37" ht="15" hidden="1" customHeight="1" x14ac:dyDescent="0.3"/>
    <row r="249" spans="2:37" ht="15" hidden="1" customHeight="1" x14ac:dyDescent="0.3"/>
    <row r="250" spans="2:37" ht="15" hidden="1" customHeight="1" x14ac:dyDescent="0.3"/>
    <row r="251" spans="2:37" ht="15" hidden="1" customHeight="1" x14ac:dyDescent="0.3"/>
    <row r="252" spans="2:37" ht="15" hidden="1" customHeight="1" x14ac:dyDescent="0.3"/>
    <row r="253" spans="2:37" ht="15" hidden="1" customHeight="1" x14ac:dyDescent="0.3"/>
    <row r="254" spans="2:37" ht="15" hidden="1" customHeight="1" x14ac:dyDescent="0.3"/>
    <row r="255" spans="2:37" ht="15" hidden="1" customHeight="1" x14ac:dyDescent="0.3"/>
    <row r="256" spans="2:37" ht="15" hidden="1" customHeight="1" x14ac:dyDescent="0.3"/>
    <row r="257" ht="15" hidden="1" customHeight="1" x14ac:dyDescent="0.3"/>
    <row r="258" ht="15" hidden="1" customHeight="1" x14ac:dyDescent="0.3"/>
    <row r="259" ht="15" hidden="1" customHeight="1" x14ac:dyDescent="0.3"/>
    <row r="260" ht="15" hidden="1" customHeight="1" x14ac:dyDescent="0.3"/>
    <row r="261" ht="15" hidden="1" customHeight="1" x14ac:dyDescent="0.3"/>
    <row r="262" ht="15" hidden="1" customHeight="1" x14ac:dyDescent="0.3"/>
    <row r="263" ht="15" hidden="1" customHeight="1" x14ac:dyDescent="0.3"/>
    <row r="264" ht="15" hidden="1" customHeight="1" x14ac:dyDescent="0.3"/>
    <row r="265" ht="15" hidden="1" customHeight="1" x14ac:dyDescent="0.3"/>
    <row r="266" ht="15" hidden="1" customHeight="1" x14ac:dyDescent="0.3"/>
    <row r="267" ht="15" hidden="1" customHeight="1" x14ac:dyDescent="0.3"/>
    <row r="268" ht="15" hidden="1" customHeight="1" x14ac:dyDescent="0.3"/>
    <row r="269" ht="15" hidden="1" customHeight="1" x14ac:dyDescent="0.3"/>
    <row r="270" ht="15" hidden="1" customHeight="1" x14ac:dyDescent="0.3"/>
    <row r="271" ht="15" hidden="1" customHeight="1" x14ac:dyDescent="0.3"/>
    <row r="272"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sheetData>
  <sheetProtection algorithmName="SHA-512" hashValue="f1Nb3XCRUHk/e1Kc4re7j1LJuPLS65OWLuvcnEnmka+K1PKM48WXxYxYVKCU4RzMMl50x6gE8W5ga1RQE9UtPA==" saltValue="PTR98l+ROPrQKzMKtNhtxA==" spinCount="100000" sheet="1" objects="1" scenarios="1" selectLockedCells="1"/>
  <mergeCells count="452">
    <mergeCell ref="W1:AL4"/>
    <mergeCell ref="E63:G63"/>
    <mergeCell ref="L63:N63"/>
    <mergeCell ref="X63:Z63"/>
    <mergeCell ref="AE63:AG63"/>
    <mergeCell ref="E178:Y178"/>
    <mergeCell ref="E179:Y179"/>
    <mergeCell ref="E180:K180"/>
    <mergeCell ref="O180:R180"/>
    <mergeCell ref="Q113:S113"/>
    <mergeCell ref="G90:J90"/>
    <mergeCell ref="K89:L89"/>
    <mergeCell ref="AD79:AF79"/>
    <mergeCell ref="A78:AL78"/>
    <mergeCell ref="AG90:AJ90"/>
    <mergeCell ref="B90:D90"/>
    <mergeCell ref="AH112:AK112"/>
    <mergeCell ref="AD111:AF111"/>
    <mergeCell ref="Y111:AB111"/>
    <mergeCell ref="Y114:AB114"/>
    <mergeCell ref="Y113:AB113"/>
    <mergeCell ref="Y112:AB112"/>
    <mergeCell ref="AD117:AF117"/>
    <mergeCell ref="Y117:AB117"/>
    <mergeCell ref="Y170:Z170"/>
    <mergeCell ref="AC164:AI164"/>
    <mergeCell ref="AC166:AI166"/>
    <mergeCell ref="AG142:AK142"/>
    <mergeCell ref="Q121:S121"/>
    <mergeCell ref="AC170:AI170"/>
    <mergeCell ref="AG154:AK154"/>
    <mergeCell ref="AG149:AK149"/>
    <mergeCell ref="F141:V141"/>
    <mergeCell ref="F147:V147"/>
    <mergeCell ref="I124:K124"/>
    <mergeCell ref="I122:K122"/>
    <mergeCell ref="F148:V148"/>
    <mergeCell ref="Z148:AK148"/>
    <mergeCell ref="Z141:AK141"/>
    <mergeCell ref="AH114:AK114"/>
    <mergeCell ref="AH113:AK113"/>
    <mergeCell ref="D202:Z202"/>
    <mergeCell ref="AG202:AK202"/>
    <mergeCell ref="W180:Y180"/>
    <mergeCell ref="B128:AK135"/>
    <mergeCell ref="F149:V149"/>
    <mergeCell ref="AH124:AK124"/>
    <mergeCell ref="AH123:AK123"/>
    <mergeCell ref="AF188:AK188"/>
    <mergeCell ref="AC160:AI160"/>
    <mergeCell ref="AG153:AK153"/>
    <mergeCell ref="B152:H152"/>
    <mergeCell ref="R152:U152"/>
    <mergeCell ref="F142:V142"/>
    <mergeCell ref="M125:O125"/>
    <mergeCell ref="M124:O124"/>
    <mergeCell ref="M123:O123"/>
    <mergeCell ref="Y125:AB125"/>
    <mergeCell ref="Y124:AB124"/>
    <mergeCell ref="R201:U201"/>
    <mergeCell ref="C123:D123"/>
    <mergeCell ref="E177:Y177"/>
    <mergeCell ref="AC168:AI168"/>
    <mergeCell ref="B91:D91"/>
    <mergeCell ref="B85:D85"/>
    <mergeCell ref="AA84:AD84"/>
    <mergeCell ref="M85:P85"/>
    <mergeCell ref="C122:D122"/>
    <mergeCell ref="M122:O122"/>
    <mergeCell ref="D153:Z153"/>
    <mergeCell ref="G21:J21"/>
    <mergeCell ref="V96:X96"/>
    <mergeCell ref="AA91:AD91"/>
    <mergeCell ref="E71:G71"/>
    <mergeCell ref="O71:Q71"/>
    <mergeCell ref="H62:P62"/>
    <mergeCell ref="E65:F65"/>
    <mergeCell ref="G25:J25"/>
    <mergeCell ref="M93:P93"/>
    <mergeCell ref="M94:P94"/>
    <mergeCell ref="J79:L79"/>
    <mergeCell ref="E69:H69"/>
    <mergeCell ref="K90:L90"/>
    <mergeCell ref="AA90:AD90"/>
    <mergeCell ref="AA89:AD89"/>
    <mergeCell ref="M79:N79"/>
    <mergeCell ref="O69:R69"/>
    <mergeCell ref="AG86:AJ86"/>
    <mergeCell ref="AG89:AJ89"/>
    <mergeCell ref="AA88:AD88"/>
    <mergeCell ref="AA87:AD87"/>
    <mergeCell ref="V97:X97"/>
    <mergeCell ref="V92:X92"/>
    <mergeCell ref="AA97:AD97"/>
    <mergeCell ref="AG87:AJ87"/>
    <mergeCell ref="V95:X95"/>
    <mergeCell ref="AA92:AD92"/>
    <mergeCell ref="AA96:AD96"/>
    <mergeCell ref="AA86:AD86"/>
    <mergeCell ref="AA95:AD95"/>
    <mergeCell ref="AA93:AD93"/>
    <mergeCell ref="AA94:AD94"/>
    <mergeCell ref="AG95:AJ95"/>
    <mergeCell ref="AG91:AJ91"/>
    <mergeCell ref="V94:X94"/>
    <mergeCell ref="AE88:AF88"/>
    <mergeCell ref="AE89:AF89"/>
    <mergeCell ref="E49:G49"/>
    <mergeCell ref="I49:K49"/>
    <mergeCell ref="AG79:AH79"/>
    <mergeCell ref="W49:Y49"/>
    <mergeCell ref="AE49:AG49"/>
    <mergeCell ref="Y70:AA70"/>
    <mergeCell ref="I48:K48"/>
    <mergeCell ref="AE48:AG48"/>
    <mergeCell ref="AI49:AK49"/>
    <mergeCell ref="AA49:AC49"/>
    <mergeCell ref="Y69:AB69"/>
    <mergeCell ref="AH70:AJ70"/>
    <mergeCell ref="A67:AL67"/>
    <mergeCell ref="A73:AL73"/>
    <mergeCell ref="AG58:AK58"/>
    <mergeCell ref="AG59:AK59"/>
    <mergeCell ref="AH69:AK69"/>
    <mergeCell ref="M49:O49"/>
    <mergeCell ref="Q49:S49"/>
    <mergeCell ref="O70:Q70"/>
    <mergeCell ref="D58:Z58"/>
    <mergeCell ref="R57:U57"/>
    <mergeCell ref="E70:G70"/>
    <mergeCell ref="AE20:AF20"/>
    <mergeCell ref="AE21:AF21"/>
    <mergeCell ref="AH34:AJ34"/>
    <mergeCell ref="E33:G33"/>
    <mergeCell ref="E34:G34"/>
    <mergeCell ref="E7:Z7"/>
    <mergeCell ref="E8:Z8"/>
    <mergeCell ref="Q48:S48"/>
    <mergeCell ref="A29:AL29"/>
    <mergeCell ref="E31:H31"/>
    <mergeCell ref="K20:L20"/>
    <mergeCell ref="K21:L21"/>
    <mergeCell ref="E47:G47"/>
    <mergeCell ref="AF7:AK7"/>
    <mergeCell ref="AF8:AK8"/>
    <mergeCell ref="E40:G40"/>
    <mergeCell ref="I40:K40"/>
    <mergeCell ref="M40:O40"/>
    <mergeCell ref="Q40:S40"/>
    <mergeCell ref="E44:G44"/>
    <mergeCell ref="E46:G46"/>
    <mergeCell ref="G20:J20"/>
    <mergeCell ref="E45:G45"/>
    <mergeCell ref="N31:Q31"/>
    <mergeCell ref="M86:P86"/>
    <mergeCell ref="A82:AL82"/>
    <mergeCell ref="Q89:R89"/>
    <mergeCell ref="B87:D87"/>
    <mergeCell ref="B88:D88"/>
    <mergeCell ref="B89:D89"/>
    <mergeCell ref="V85:X85"/>
    <mergeCell ref="G85:J85"/>
    <mergeCell ref="A14:AL14"/>
    <mergeCell ref="Y31:AB31"/>
    <mergeCell ref="AH31:AK31"/>
    <mergeCell ref="Y33:AA33"/>
    <mergeCell ref="Y32:AA32"/>
    <mergeCell ref="AH33:AJ33"/>
    <mergeCell ref="AE40:AG40"/>
    <mergeCell ref="Y34:AA34"/>
    <mergeCell ref="AI39:AK39"/>
    <mergeCell ref="E39:G39"/>
    <mergeCell ref="I39:K39"/>
    <mergeCell ref="M39:O39"/>
    <mergeCell ref="Q39:S39"/>
    <mergeCell ref="AA25:AD25"/>
    <mergeCell ref="AA20:AD20"/>
    <mergeCell ref="AA21:AD21"/>
    <mergeCell ref="K25:L25"/>
    <mergeCell ref="AE25:AF25"/>
    <mergeCell ref="I46:K46"/>
    <mergeCell ref="I47:K47"/>
    <mergeCell ref="AA46:AC46"/>
    <mergeCell ref="AA47:AC47"/>
    <mergeCell ref="M48:O48"/>
    <mergeCell ref="Q44:S44"/>
    <mergeCell ref="N33:P33"/>
    <mergeCell ref="N34:P34"/>
    <mergeCell ref="M46:O46"/>
    <mergeCell ref="W45:Y45"/>
    <mergeCell ref="W46:Y46"/>
    <mergeCell ref="W47:Y47"/>
    <mergeCell ref="M45:O45"/>
    <mergeCell ref="Q45:S45"/>
    <mergeCell ref="Q46:S46"/>
    <mergeCell ref="M47:O47"/>
    <mergeCell ref="Q47:S47"/>
    <mergeCell ref="AA39:AC39"/>
    <mergeCell ref="AA40:AC40"/>
    <mergeCell ref="AA44:AC44"/>
    <mergeCell ref="W39:Y39"/>
    <mergeCell ref="AE39:AG39"/>
    <mergeCell ref="M89:P89"/>
    <mergeCell ref="Q91:R91"/>
    <mergeCell ref="AA85:AD85"/>
    <mergeCell ref="Q85:R85"/>
    <mergeCell ref="K88:L88"/>
    <mergeCell ref="I44:K44"/>
    <mergeCell ref="M44:O44"/>
    <mergeCell ref="AD80:AF80"/>
    <mergeCell ref="AA62:AI62"/>
    <mergeCell ref="G84:J84"/>
    <mergeCell ref="E48:G48"/>
    <mergeCell ref="B57:H57"/>
    <mergeCell ref="AH71:AJ71"/>
    <mergeCell ref="I74:L74"/>
    <mergeCell ref="I75:L75"/>
    <mergeCell ref="AD74:AG74"/>
    <mergeCell ref="AD75:AG75"/>
    <mergeCell ref="M90:P90"/>
    <mergeCell ref="V89:X89"/>
    <mergeCell ref="V90:X90"/>
    <mergeCell ref="AI45:AK45"/>
    <mergeCell ref="I45:K45"/>
    <mergeCell ref="AI46:AK46"/>
    <mergeCell ref="AA48:AC48"/>
    <mergeCell ref="AE44:AG44"/>
    <mergeCell ref="AE45:AG45"/>
    <mergeCell ref="W40:Y40"/>
    <mergeCell ref="AI44:AK44"/>
    <mergeCell ref="AA45:AC45"/>
    <mergeCell ref="W44:Y44"/>
    <mergeCell ref="AI40:AK40"/>
    <mergeCell ref="AE46:AG46"/>
    <mergeCell ref="W48:Y48"/>
    <mergeCell ref="AI47:AK47"/>
    <mergeCell ref="AI48:AK48"/>
    <mergeCell ref="AE47:AG47"/>
    <mergeCell ref="AG85:AJ85"/>
    <mergeCell ref="Y71:AA71"/>
    <mergeCell ref="V91:X91"/>
    <mergeCell ref="AG88:AJ88"/>
    <mergeCell ref="B245:H245"/>
    <mergeCell ref="R245:U245"/>
    <mergeCell ref="X156:AA156"/>
    <mergeCell ref="Y160:Z160"/>
    <mergeCell ref="Y162:Z162"/>
    <mergeCell ref="Y164:Z164"/>
    <mergeCell ref="Y166:Z166"/>
    <mergeCell ref="Y168:Z168"/>
    <mergeCell ref="F138:V138"/>
    <mergeCell ref="F139:V139"/>
    <mergeCell ref="F140:V140"/>
    <mergeCell ref="B173:AL176"/>
    <mergeCell ref="AH147:AK147"/>
    <mergeCell ref="Z147:AC147"/>
    <mergeCell ref="Z140:AC140"/>
    <mergeCell ref="AH140:AK140"/>
    <mergeCell ref="AC162:AI162"/>
    <mergeCell ref="AC156:AI156"/>
    <mergeCell ref="M91:P91"/>
    <mergeCell ref="AG203:AK203"/>
    <mergeCell ref="B201:H201"/>
    <mergeCell ref="AV6:BI7"/>
    <mergeCell ref="E181:Y181"/>
    <mergeCell ref="E182:I182"/>
    <mergeCell ref="AC184:AG184"/>
    <mergeCell ref="M98:P98"/>
    <mergeCell ref="AG108:AK108"/>
    <mergeCell ref="F145:V145"/>
    <mergeCell ref="F146:V146"/>
    <mergeCell ref="E32:G32"/>
    <mergeCell ref="G16:I16"/>
    <mergeCell ref="G17:I17"/>
    <mergeCell ref="G18:I18"/>
    <mergeCell ref="G19:I19"/>
    <mergeCell ref="AA16:AC16"/>
    <mergeCell ref="AA17:AC17"/>
    <mergeCell ref="AA18:AC18"/>
    <mergeCell ref="AA19:AC19"/>
    <mergeCell ref="AE94:AF94"/>
    <mergeCell ref="AE95:AF95"/>
    <mergeCell ref="Q90:R90"/>
    <mergeCell ref="I121:K121"/>
    <mergeCell ref="I120:K120"/>
    <mergeCell ref="I125:K125"/>
    <mergeCell ref="AH115:AK115"/>
    <mergeCell ref="M119:O119"/>
    <mergeCell ref="U123:W123"/>
    <mergeCell ref="U122:W122"/>
    <mergeCell ref="U121:W121"/>
    <mergeCell ref="U120:W120"/>
    <mergeCell ref="AD125:AF125"/>
    <mergeCell ref="AH117:AK117"/>
    <mergeCell ref="AD119:AF119"/>
    <mergeCell ref="Y119:AB119"/>
    <mergeCell ref="Q116:S116"/>
    <mergeCell ref="M120:O120"/>
    <mergeCell ref="Y123:AB123"/>
    <mergeCell ref="Y122:AB122"/>
    <mergeCell ref="M121:O121"/>
    <mergeCell ref="Y120:AB120"/>
    <mergeCell ref="AH125:AK125"/>
    <mergeCell ref="U125:W125"/>
    <mergeCell ref="Y116:AB116"/>
    <mergeCell ref="Y115:AB115"/>
    <mergeCell ref="AH116:AK116"/>
    <mergeCell ref="M117:O117"/>
    <mergeCell ref="M116:O116"/>
    <mergeCell ref="K91:L91"/>
    <mergeCell ref="X65:Y65"/>
    <mergeCell ref="A61:AL61"/>
    <mergeCell ref="B86:D86"/>
    <mergeCell ref="G86:J86"/>
    <mergeCell ref="G87:J87"/>
    <mergeCell ref="M88:P88"/>
    <mergeCell ref="G91:J91"/>
    <mergeCell ref="V87:X87"/>
    <mergeCell ref="G88:J88"/>
    <mergeCell ref="G89:J89"/>
    <mergeCell ref="J80:L80"/>
    <mergeCell ref="K85:L85"/>
    <mergeCell ref="K86:L86"/>
    <mergeCell ref="K87:L87"/>
    <mergeCell ref="Q86:R86"/>
    <mergeCell ref="Q87:R87"/>
    <mergeCell ref="Q88:R88"/>
    <mergeCell ref="M87:P87"/>
    <mergeCell ref="V86:X86"/>
    <mergeCell ref="AE85:AF85"/>
    <mergeCell ref="AE86:AF86"/>
    <mergeCell ref="AE87:AF87"/>
    <mergeCell ref="V88:X88"/>
    <mergeCell ref="G92:J92"/>
    <mergeCell ref="G93:J93"/>
    <mergeCell ref="M92:P92"/>
    <mergeCell ref="B92:D92"/>
    <mergeCell ref="AG92:AJ92"/>
    <mergeCell ref="AK94:AL94"/>
    <mergeCell ref="K94:L94"/>
    <mergeCell ref="K95:L95"/>
    <mergeCell ref="AE92:AF92"/>
    <mergeCell ref="B94:D94"/>
    <mergeCell ref="B93:D93"/>
    <mergeCell ref="G95:J95"/>
    <mergeCell ref="B95:D95"/>
    <mergeCell ref="Q93:R93"/>
    <mergeCell ref="Q94:R94"/>
    <mergeCell ref="Q92:R92"/>
    <mergeCell ref="K92:L92"/>
    <mergeCell ref="K93:L93"/>
    <mergeCell ref="C112:D112"/>
    <mergeCell ref="I112:K112"/>
    <mergeCell ref="U111:W111"/>
    <mergeCell ref="Q111:S111"/>
    <mergeCell ref="AE98:AF98"/>
    <mergeCell ref="M96:P96"/>
    <mergeCell ref="AK98:AL98"/>
    <mergeCell ref="AE96:AF96"/>
    <mergeCell ref="G96:J96"/>
    <mergeCell ref="K97:L97"/>
    <mergeCell ref="G98:J98"/>
    <mergeCell ref="B98:D98"/>
    <mergeCell ref="K96:L96"/>
    <mergeCell ref="G97:J97"/>
    <mergeCell ref="AK97:AL97"/>
    <mergeCell ref="AG97:AJ97"/>
    <mergeCell ref="V98:X98"/>
    <mergeCell ref="AK96:AL96"/>
    <mergeCell ref="Q96:R96"/>
    <mergeCell ref="Q97:R97"/>
    <mergeCell ref="K98:L98"/>
    <mergeCell ref="Q98:R98"/>
    <mergeCell ref="R106:U106"/>
    <mergeCell ref="A110:AL110"/>
    <mergeCell ref="AH111:AK111"/>
    <mergeCell ref="AG98:AJ98"/>
    <mergeCell ref="B96:D96"/>
    <mergeCell ref="AG96:AJ96"/>
    <mergeCell ref="AK95:AL95"/>
    <mergeCell ref="D107:Z107"/>
    <mergeCell ref="I111:K111"/>
    <mergeCell ref="M97:P97"/>
    <mergeCell ref="V93:X93"/>
    <mergeCell ref="M95:P95"/>
    <mergeCell ref="Q95:R95"/>
    <mergeCell ref="B97:D97"/>
    <mergeCell ref="B106:H106"/>
    <mergeCell ref="G94:J94"/>
    <mergeCell ref="I115:K115"/>
    <mergeCell ref="Q114:S114"/>
    <mergeCell ref="Q115:S115"/>
    <mergeCell ref="C113:D113"/>
    <mergeCell ref="C116:D116"/>
    <mergeCell ref="U113:W113"/>
    <mergeCell ref="C115:D115"/>
    <mergeCell ref="C114:D114"/>
    <mergeCell ref="M115:O115"/>
    <mergeCell ref="M114:O114"/>
    <mergeCell ref="M113:O113"/>
    <mergeCell ref="U115:W115"/>
    <mergeCell ref="I114:K114"/>
    <mergeCell ref="I113:K113"/>
    <mergeCell ref="U114:W114"/>
    <mergeCell ref="C120:D120"/>
    <mergeCell ref="C121:D121"/>
    <mergeCell ref="AD6:AK6"/>
    <mergeCell ref="U124:W124"/>
    <mergeCell ref="Q125:S125"/>
    <mergeCell ref="C125:D125"/>
    <mergeCell ref="I119:K119"/>
    <mergeCell ref="I123:K123"/>
    <mergeCell ref="C117:D117"/>
    <mergeCell ref="C124:D124"/>
    <mergeCell ref="AH119:AK119"/>
    <mergeCell ref="AH120:AK120"/>
    <mergeCell ref="AH121:AK121"/>
    <mergeCell ref="AH122:AK122"/>
    <mergeCell ref="Q117:S117"/>
    <mergeCell ref="U119:W119"/>
    <mergeCell ref="Q119:S119"/>
    <mergeCell ref="M111:O111"/>
    <mergeCell ref="U112:W112"/>
    <mergeCell ref="I117:K117"/>
    <mergeCell ref="I116:K116"/>
    <mergeCell ref="M112:O112"/>
    <mergeCell ref="U116:W116"/>
    <mergeCell ref="U117:W117"/>
    <mergeCell ref="BO1:CB4"/>
    <mergeCell ref="Q124:S124"/>
    <mergeCell ref="Q120:S120"/>
    <mergeCell ref="Y121:AB121"/>
    <mergeCell ref="AE97:AF97"/>
    <mergeCell ref="AK86:AL86"/>
    <mergeCell ref="AK87:AL87"/>
    <mergeCell ref="AK88:AL88"/>
    <mergeCell ref="AK89:AL89"/>
    <mergeCell ref="AK90:AL90"/>
    <mergeCell ref="AK91:AL91"/>
    <mergeCell ref="AK92:AL92"/>
    <mergeCell ref="AK93:AL93"/>
    <mergeCell ref="AE90:AF90"/>
    <mergeCell ref="AE91:AF91"/>
    <mergeCell ref="AE93:AF93"/>
    <mergeCell ref="AG93:AJ93"/>
    <mergeCell ref="AG94:AJ94"/>
    <mergeCell ref="Q123:S123"/>
    <mergeCell ref="Q122:S122"/>
    <mergeCell ref="AG107:AK107"/>
    <mergeCell ref="AA98:AD98"/>
    <mergeCell ref="AK85:AL85"/>
    <mergeCell ref="Q112:S112"/>
  </mergeCells>
  <conditionalFormatting sqref="B128:AK135">
    <cfRule type="expression" dxfId="116" priority="81">
      <formula>$AM$189&gt;0</formula>
    </cfRule>
    <cfRule type="cellIs" priority="80" stopIfTrue="1" operator="greaterThan">
      <formula>0</formula>
    </cfRule>
  </conditionalFormatting>
  <conditionalFormatting sqref="D158 F158">
    <cfRule type="expression" dxfId="115" priority="44">
      <formula>ISBLANK(D158)</formula>
    </cfRule>
  </conditionalFormatting>
  <conditionalFormatting sqref="D160 F160">
    <cfRule type="expression" dxfId="114" priority="75">
      <formula>ISBLANK(D160)</formula>
    </cfRule>
  </conditionalFormatting>
  <conditionalFormatting sqref="D162 F162">
    <cfRule type="expression" dxfId="113" priority="70">
      <formula>ISBLANK(D162)</formula>
    </cfRule>
  </conditionalFormatting>
  <conditionalFormatting sqref="D164 F164">
    <cfRule type="expression" dxfId="112" priority="67">
      <formula>ISBLANK(D164)</formula>
    </cfRule>
  </conditionalFormatting>
  <conditionalFormatting sqref="D166 F166">
    <cfRule type="expression" dxfId="111" priority="64">
      <formula>ISBLANK(D166)</formula>
    </cfRule>
  </conditionalFormatting>
  <conditionalFormatting sqref="D168 F168">
    <cfRule type="expression" dxfId="110" priority="61">
      <formula>ISBLANK(D168)</formula>
    </cfRule>
  </conditionalFormatting>
  <conditionalFormatting sqref="D170 F170">
    <cfRule type="expression" dxfId="109" priority="41">
      <formula>ISBLANK(D170)</formula>
    </cfRule>
  </conditionalFormatting>
  <conditionalFormatting sqref="D58:Z58">
    <cfRule type="cellIs" dxfId="108" priority="111" operator="equal">
      <formula>0</formula>
    </cfRule>
  </conditionalFormatting>
  <conditionalFormatting sqref="D107:Z107">
    <cfRule type="cellIs" dxfId="107" priority="109" operator="equal">
      <formula>0</formula>
    </cfRule>
  </conditionalFormatting>
  <conditionalFormatting sqref="D153:Z153">
    <cfRule type="cellIs" dxfId="106" priority="104" operator="equal">
      <formula>0</formula>
    </cfRule>
  </conditionalFormatting>
  <conditionalFormatting sqref="D202:Z202">
    <cfRule type="cellIs" dxfId="105" priority="16" operator="equal">
      <formula>0</formula>
    </cfRule>
  </conditionalFormatting>
  <conditionalFormatting sqref="E177:E178">
    <cfRule type="expression" dxfId="104" priority="48">
      <formula>ISBLANK(E177)</formula>
    </cfRule>
  </conditionalFormatting>
  <conditionalFormatting sqref="E179:Y179 E180:E182">
    <cfRule type="expression" dxfId="103" priority="46">
      <formula>ISBLANK(E179)</formula>
    </cfRule>
  </conditionalFormatting>
  <conditionalFormatting sqref="E7:Z8 AF8">
    <cfRule type="cellIs" dxfId="102" priority="98" operator="equal">
      <formula>0</formula>
    </cfRule>
  </conditionalFormatting>
  <conditionalFormatting sqref="F138:F142 AH140">
    <cfRule type="expression" dxfId="101" priority="121">
      <formula>ISBLANK(F138)</formula>
    </cfRule>
  </conditionalFormatting>
  <conditionalFormatting sqref="F145:F149 AH147 Z147:Z148 AG149">
    <cfRule type="expression" dxfId="100" priority="207">
      <formula>ISBLANK(F145)</formula>
    </cfRule>
    <cfRule type="expression" priority="119" stopIfTrue="1">
      <formula>$AN$144=2</formula>
    </cfRule>
  </conditionalFormatting>
  <conditionalFormatting sqref="F158 D158">
    <cfRule type="expression" priority="43" stopIfTrue="1">
      <formula>$AM$158=2</formula>
    </cfRule>
  </conditionalFormatting>
  <conditionalFormatting sqref="F158">
    <cfRule type="expression" dxfId="99" priority="42">
      <formula>$AN$158=2</formula>
    </cfRule>
  </conditionalFormatting>
  <conditionalFormatting sqref="F160 D160">
    <cfRule type="expression" priority="74" stopIfTrue="1">
      <formula>$AM$160=2</formula>
    </cfRule>
  </conditionalFormatting>
  <conditionalFormatting sqref="F160">
    <cfRule type="expression" dxfId="98" priority="73">
      <formula>$AN$160=2</formula>
    </cfRule>
  </conditionalFormatting>
  <conditionalFormatting sqref="F162 D162">
    <cfRule type="expression" priority="69" stopIfTrue="1">
      <formula>$AM$162=2</formula>
    </cfRule>
  </conditionalFormatting>
  <conditionalFormatting sqref="F162">
    <cfRule type="expression" dxfId="97" priority="68">
      <formula>$AN$162=2</formula>
    </cfRule>
  </conditionalFormatting>
  <conditionalFormatting sqref="F164 D164">
    <cfRule type="expression" priority="66" stopIfTrue="1">
      <formula>$AM$164=2</formula>
    </cfRule>
  </conditionalFormatting>
  <conditionalFormatting sqref="F164">
    <cfRule type="expression" dxfId="96" priority="65">
      <formula>$AN$164=2</formula>
    </cfRule>
  </conditionalFormatting>
  <conditionalFormatting sqref="F166 D166">
    <cfRule type="expression" priority="63" stopIfTrue="1">
      <formula>$AM$166=2</formula>
    </cfRule>
  </conditionalFormatting>
  <conditionalFormatting sqref="F166">
    <cfRule type="expression" dxfId="95" priority="62">
      <formula>$AN$166=2</formula>
    </cfRule>
  </conditionalFormatting>
  <conditionalFormatting sqref="F168 D168">
    <cfRule type="expression" priority="60" stopIfTrue="1">
      <formula>$AM$168=2</formula>
    </cfRule>
  </conditionalFormatting>
  <conditionalFormatting sqref="F168">
    <cfRule type="expression" dxfId="94" priority="59">
      <formula>$AN$168=2</formula>
    </cfRule>
  </conditionalFormatting>
  <conditionalFormatting sqref="F170 D170">
    <cfRule type="expression" priority="40" stopIfTrue="1">
      <formula>$AM$170=2</formula>
    </cfRule>
  </conditionalFormatting>
  <conditionalFormatting sqref="F170">
    <cfRule type="expression" dxfId="93" priority="39">
      <formula>$AN$170=2</formula>
    </cfRule>
  </conditionalFormatting>
  <conditionalFormatting sqref="G10 O10 AA10">
    <cfRule type="expression" dxfId="92" priority="117">
      <formula>ISBLANK(G10)</formula>
    </cfRule>
  </conditionalFormatting>
  <conditionalFormatting sqref="G12">
    <cfRule type="expression" dxfId="91" priority="4">
      <formula>ISBLANK(G12)</formula>
    </cfRule>
  </conditionalFormatting>
  <conditionalFormatting sqref="G85:J98 M85:P98 AA85:AD98 AG85:AJ98">
    <cfRule type="expression" dxfId="90" priority="34">
      <formula>$AN$16=1</formula>
    </cfRule>
    <cfRule type="expression" dxfId="89" priority="35">
      <formula>$AN$16=2</formula>
    </cfRule>
  </conditionalFormatting>
  <conditionalFormatting sqref="I120:I125">
    <cfRule type="expression" dxfId="88" priority="271" stopIfTrue="1">
      <formula>ISBLANK(I120)</formula>
    </cfRule>
    <cfRule type="cellIs" dxfId="87" priority="272" operator="notEqual">
      <formula>$I112</formula>
    </cfRule>
  </conditionalFormatting>
  <conditionalFormatting sqref="K85:L98 Q85:R98 AE85:AF98 AK85:AL98">
    <cfRule type="expression" dxfId="85" priority="36">
      <formula>$AM$84=2</formula>
    </cfRule>
  </conditionalFormatting>
  <conditionalFormatting sqref="M120:M125">
    <cfRule type="cellIs" dxfId="84" priority="1344" operator="notEqual">
      <formula>$M112</formula>
    </cfRule>
    <cfRule type="expression" dxfId="83" priority="1343" stopIfTrue="1">
      <formula>ISBLANK(M120)</formula>
    </cfRule>
  </conditionalFormatting>
  <conditionalFormatting sqref="O180 W180">
    <cfRule type="expression" dxfId="82" priority="45">
      <formula>ISBLANK(O180)</formula>
    </cfRule>
  </conditionalFormatting>
  <conditionalFormatting sqref="Q112:Q117 U112:U117 AD117">
    <cfRule type="expression" dxfId="81" priority="206">
      <formula>ISBLANK(Q112)</formula>
    </cfRule>
  </conditionalFormatting>
  <conditionalFormatting sqref="U120:U123">
    <cfRule type="cellIs" dxfId="80" priority="264" operator="greaterThan">
      <formula>$Y$71</formula>
    </cfRule>
  </conditionalFormatting>
  <conditionalFormatting sqref="U125">
    <cfRule type="expression" dxfId="79" priority="30">
      <formula>$AO$125&lt;1</formula>
    </cfRule>
  </conditionalFormatting>
  <conditionalFormatting sqref="U124:W124">
    <cfRule type="cellIs" dxfId="78" priority="1" operator="greaterThan">
      <formula>$Y$71</formula>
    </cfRule>
  </conditionalFormatting>
  <conditionalFormatting sqref="V85:X85">
    <cfRule type="expression" dxfId="77" priority="84">
      <formula>ISBLANK($V$85)</formula>
    </cfRule>
    <cfRule type="cellIs" priority="83" operator="greaterThan">
      <formula>0</formula>
    </cfRule>
  </conditionalFormatting>
  <conditionalFormatting sqref="Y27 AB27">
    <cfRule type="expression" dxfId="76" priority="944">
      <formula>$AM$27=1</formula>
    </cfRule>
  </conditionalFormatting>
  <conditionalFormatting sqref="Y31 AH34 W39:W40 M112:M117">
    <cfRule type="expression" dxfId="75" priority="981">
      <formula>ISBLANK(M31)</formula>
    </cfRule>
  </conditionalFormatting>
  <conditionalFormatting sqref="Y34">
    <cfRule type="expression" dxfId="74" priority="183">
      <formula>ISBLANK(Y34)</formula>
    </cfRule>
  </conditionalFormatting>
  <conditionalFormatting sqref="Y36 AC36">
    <cfRule type="expression" dxfId="73" priority="945">
      <formula>$AM$36=1</formula>
    </cfRule>
  </conditionalFormatting>
  <conditionalFormatting sqref="Y69:Y71 AH69:AH71">
    <cfRule type="expression" dxfId="72" priority="162">
      <formula>ISBLANK(Y69)</formula>
    </cfRule>
  </conditionalFormatting>
  <conditionalFormatting sqref="Y112:Y117 Y120:Y125 AD125">
    <cfRule type="cellIs" dxfId="71" priority="19" operator="greaterThan">
      <formula>$AP$110</formula>
    </cfRule>
  </conditionalFormatting>
  <conditionalFormatting sqref="Y112:Y117">
    <cfRule type="expression" dxfId="70" priority="18">
      <formula>ISBLANK(Y112)</formula>
    </cfRule>
  </conditionalFormatting>
  <conditionalFormatting sqref="Y120:Y125">
    <cfRule type="expression" dxfId="69" priority="17" stopIfTrue="1">
      <formula>ISBLANK(Y120)</formula>
    </cfRule>
  </conditionalFormatting>
  <conditionalFormatting sqref="Y160 AC160">
    <cfRule type="cellIs" priority="71" stopIfTrue="1" operator="greaterThan">
      <formula>0</formula>
    </cfRule>
    <cfRule type="expression" dxfId="68" priority="72">
      <formula>$AO$160=2</formula>
    </cfRule>
  </conditionalFormatting>
  <conditionalFormatting sqref="Y162 AC162">
    <cfRule type="expression" dxfId="67" priority="58">
      <formula>$AO$162=2</formula>
    </cfRule>
    <cfRule type="cellIs" priority="57" stopIfTrue="1" operator="greaterThan">
      <formula>0</formula>
    </cfRule>
  </conditionalFormatting>
  <conditionalFormatting sqref="Y164 AC164">
    <cfRule type="expression" dxfId="66" priority="56">
      <formula>$AO$164=2</formula>
    </cfRule>
    <cfRule type="cellIs" priority="55" stopIfTrue="1" operator="greaterThan">
      <formula>0</formula>
    </cfRule>
  </conditionalFormatting>
  <conditionalFormatting sqref="Y166 AC166">
    <cfRule type="expression" dxfId="65" priority="54">
      <formula>$AO$166=2</formula>
    </cfRule>
    <cfRule type="cellIs" priority="53" stopIfTrue="1" operator="greaterThan">
      <formula>0</formula>
    </cfRule>
  </conditionalFormatting>
  <conditionalFormatting sqref="Y168 AC168">
    <cfRule type="expression" dxfId="64" priority="52">
      <formula>$AO$168=2</formula>
    </cfRule>
    <cfRule type="cellIs" priority="51" stopIfTrue="1" operator="greaterThan">
      <formula>0</formula>
    </cfRule>
  </conditionalFormatting>
  <conditionalFormatting sqref="Y170 AC170">
    <cfRule type="cellIs" priority="37" stopIfTrue="1" operator="greaterThan">
      <formula>0</formula>
    </cfRule>
    <cfRule type="expression" dxfId="63" priority="38">
      <formula>$AO$170=2</formula>
    </cfRule>
  </conditionalFormatting>
  <conditionalFormatting sqref="Y32:AA32">
    <cfRule type="expression" dxfId="62" priority="95">
      <formula>ISBLANK(Y32)</formula>
    </cfRule>
    <cfRule type="cellIs" priority="94" stopIfTrue="1" operator="greaterThan">
      <formula>0</formula>
    </cfRule>
    <cfRule type="expression" priority="93" stopIfTrue="1">
      <formula>$AM$33=2</formula>
    </cfRule>
  </conditionalFormatting>
  <conditionalFormatting sqref="Y33:AA33 AH33:AJ33">
    <cfRule type="expression" dxfId="61" priority="92">
      <formula>ISBLANK(Y33)</formula>
    </cfRule>
    <cfRule type="cellIs" priority="91" stopIfTrue="1" operator="greaterThan">
      <formula>0</formula>
    </cfRule>
    <cfRule type="expression" priority="90" stopIfTrue="1">
      <formula>$AM$32=2</formula>
    </cfRule>
  </conditionalFormatting>
  <conditionalFormatting sqref="Z140:Z141">
    <cfRule type="expression" dxfId="60" priority="3">
      <formula>ISBLANK(Z140)</formula>
    </cfRule>
  </conditionalFormatting>
  <conditionalFormatting sqref="Z141">
    <cfRule type="expression" priority="2" stopIfTrue="1">
      <formula>$AN$144=2</formula>
    </cfRule>
  </conditionalFormatting>
  <conditionalFormatting sqref="Z144">
    <cfRule type="expression" dxfId="59" priority="122">
      <formula>ISBLANK(Z144)</formula>
    </cfRule>
    <cfRule type="expression" priority="88" stopIfTrue="1">
      <formula>$AM$144=2</formula>
    </cfRule>
  </conditionalFormatting>
  <conditionalFormatting sqref="AA12">
    <cfRule type="expression" dxfId="58" priority="5">
      <formula>ISBLANK(AA12)</formula>
    </cfRule>
  </conditionalFormatting>
  <conditionalFormatting sqref="AA16:AA21">
    <cfRule type="expression" dxfId="57" priority="108">
      <formula>ISBLANK(AA16)</formula>
    </cfRule>
  </conditionalFormatting>
  <conditionalFormatting sqref="AA23 AE23">
    <cfRule type="expression" dxfId="56" priority="940">
      <formula>$AN$23=1</formula>
    </cfRule>
  </conditionalFormatting>
  <conditionalFormatting sqref="AA39 AD39 AI39">
    <cfRule type="expression" dxfId="55" priority="950">
      <formula>$AM$39=2</formula>
    </cfRule>
  </conditionalFormatting>
  <conditionalFormatting sqref="AA40 AI40">
    <cfRule type="expression" dxfId="54" priority="952">
      <formula>$AM$40=2</formula>
    </cfRule>
  </conditionalFormatting>
  <conditionalFormatting sqref="AA44 AI44">
    <cfRule type="expression" dxfId="53" priority="956">
      <formula>$AM$44=2</formula>
    </cfRule>
  </conditionalFormatting>
  <conditionalFormatting sqref="AA45 AI45">
    <cfRule type="expression" dxfId="52" priority="960">
      <formula>$AM$45=2</formula>
    </cfRule>
  </conditionalFormatting>
  <conditionalFormatting sqref="AA47 AI47">
    <cfRule type="expression" dxfId="51" priority="964">
      <formula>$AM$47=2</formula>
    </cfRule>
  </conditionalFormatting>
  <conditionalFormatting sqref="AA47:AA49 AI47:AI49">
    <cfRule type="cellIs" priority="963" stopIfTrue="1" operator="greaterThan">
      <formula>0</formula>
    </cfRule>
  </conditionalFormatting>
  <conditionalFormatting sqref="AA48 AI48">
    <cfRule type="expression" dxfId="50" priority="968">
      <formula>$AM$48=2</formula>
    </cfRule>
  </conditionalFormatting>
  <conditionalFormatting sqref="AA49 AI49">
    <cfRule type="expression" dxfId="49" priority="972">
      <formula>$AM$49=2</formula>
    </cfRule>
  </conditionalFormatting>
  <conditionalFormatting sqref="AA85 AG85">
    <cfRule type="expression" dxfId="48" priority="1033">
      <formula>$AO$85=2</formula>
    </cfRule>
  </conditionalFormatting>
  <conditionalFormatting sqref="AA85">
    <cfRule type="expression" priority="115" stopIfTrue="1">
      <formula>$AM$85=1</formula>
    </cfRule>
  </conditionalFormatting>
  <conditionalFormatting sqref="AA86 AG86">
    <cfRule type="expression" dxfId="47" priority="1037">
      <formula>$AO$86=2</formula>
    </cfRule>
  </conditionalFormatting>
  <conditionalFormatting sqref="AA87 AG87">
    <cfRule type="expression" dxfId="46" priority="1041">
      <formula>$AO$87=2</formula>
    </cfRule>
  </conditionalFormatting>
  <conditionalFormatting sqref="AA88 AG88">
    <cfRule type="expression" dxfId="45" priority="1045">
      <formula>$AO$88=2</formula>
    </cfRule>
  </conditionalFormatting>
  <conditionalFormatting sqref="AA89 AG89">
    <cfRule type="expression" dxfId="44" priority="1049">
      <formula>$AO$89=2</formula>
    </cfRule>
  </conditionalFormatting>
  <conditionalFormatting sqref="AA90 AG90">
    <cfRule type="expression" dxfId="43" priority="1053">
      <formula>$AO$90=2</formula>
    </cfRule>
  </conditionalFormatting>
  <conditionalFormatting sqref="AA91 AG91">
    <cfRule type="expression" dxfId="42" priority="1057">
      <formula>$AO$91=2</formula>
    </cfRule>
  </conditionalFormatting>
  <conditionalFormatting sqref="AA92">
    <cfRule type="expression" dxfId="41" priority="1073">
      <formula>$AO$92=2</formula>
    </cfRule>
  </conditionalFormatting>
  <conditionalFormatting sqref="AA93">
    <cfRule type="expression" dxfId="40" priority="1077">
      <formula>$AO$93=2</formula>
    </cfRule>
  </conditionalFormatting>
  <conditionalFormatting sqref="AA94">
    <cfRule type="expression" dxfId="39" priority="1081">
      <formula>$AO$94=2</formula>
    </cfRule>
  </conditionalFormatting>
  <conditionalFormatting sqref="AA95 AG95">
    <cfRule type="expression" dxfId="38" priority="1085">
      <formula>$AO$95=2</formula>
    </cfRule>
  </conditionalFormatting>
  <conditionalFormatting sqref="AA96 AG96">
    <cfRule type="expression" dxfId="37" priority="1089">
      <formula>$AO$96=2</formula>
    </cfRule>
  </conditionalFormatting>
  <conditionalFormatting sqref="AA97 AG97">
    <cfRule type="expression" dxfId="36" priority="1093">
      <formula>$AO$97=2</formula>
    </cfRule>
  </conditionalFormatting>
  <conditionalFormatting sqref="AA98 AG98">
    <cfRule type="expression" dxfId="35" priority="1097">
      <formula>$AO$98=2</formula>
    </cfRule>
  </conditionalFormatting>
  <conditionalFormatting sqref="AA46:AC46 AI46:AK46">
    <cfRule type="cellIs" priority="979" stopIfTrue="1" operator="greaterThan">
      <formula>0</formula>
    </cfRule>
    <cfRule type="expression" dxfId="34" priority="980">
      <formula>$AM$46=2</formula>
    </cfRule>
  </conditionalFormatting>
  <conditionalFormatting sqref="AA25:AD25">
    <cfRule type="cellIs" priority="942" stopIfTrue="1" operator="greaterThan">
      <formula>0</formula>
    </cfRule>
    <cfRule type="expression" dxfId="33" priority="943">
      <formula>$AM$23=1</formula>
    </cfRule>
  </conditionalFormatting>
  <conditionalFormatting sqref="AA62:AI62 X63 AE63 X65:Y65">
    <cfRule type="expression" dxfId="32" priority="9">
      <formula>ISBLANK(X62)</formula>
    </cfRule>
  </conditionalFormatting>
  <conditionalFormatting sqref="AC42 Y42">
    <cfRule type="expression" dxfId="31" priority="947">
      <formula>$AM$42=1</formula>
    </cfRule>
  </conditionalFormatting>
  <conditionalFormatting sqref="AC42">
    <cfRule type="expression" dxfId="30" priority="89">
      <formula>$AN$42=2</formula>
    </cfRule>
  </conditionalFormatting>
  <conditionalFormatting sqref="AC184">
    <cfRule type="expression" dxfId="29" priority="47">
      <formula>ISBLANK(AC184)</formula>
    </cfRule>
  </conditionalFormatting>
  <conditionalFormatting sqref="AD6">
    <cfRule type="cellIs" dxfId="28" priority="6" operator="equal">
      <formula>0</formula>
    </cfRule>
  </conditionalFormatting>
  <conditionalFormatting sqref="AD39 AA39:AA40 AI39:AI40">
    <cfRule type="cellIs" priority="949" stopIfTrue="1" operator="greaterThan">
      <formula>0</formula>
    </cfRule>
  </conditionalFormatting>
  <conditionalFormatting sqref="AD74:AD75">
    <cfRule type="expression" dxfId="27" priority="202">
      <formula>ISBLANK(AD74)</formula>
    </cfRule>
  </conditionalFormatting>
  <conditionalFormatting sqref="AD79">
    <cfRule type="expression" dxfId="26" priority="261">
      <formula>ISBLANK(AD79)</formula>
    </cfRule>
    <cfRule type="cellIs" dxfId="25" priority="262" operator="lessThan">
      <formula>$J79</formula>
    </cfRule>
  </conditionalFormatting>
  <conditionalFormatting sqref="AD117">
    <cfRule type="cellIs" dxfId="24" priority="1258" operator="greaterThan">
      <formula>$AP$110</formula>
    </cfRule>
  </conditionalFormatting>
  <conditionalFormatting sqref="AD125 U120:U125 Q120:Q125">
    <cfRule type="expression" dxfId="23" priority="29">
      <formula>ISBLANK(Q120)</formula>
    </cfRule>
  </conditionalFormatting>
  <conditionalFormatting sqref="AD80:AF80">
    <cfRule type="expression" dxfId="22" priority="79">
      <formula>ISBLANK(AD80)</formula>
    </cfRule>
  </conditionalFormatting>
  <conditionalFormatting sqref="AD74:AG74">
    <cfRule type="expression" dxfId="21" priority="21">
      <formula>$AS$74=3</formula>
    </cfRule>
  </conditionalFormatting>
  <conditionalFormatting sqref="AD75:AG75">
    <cfRule type="expression" dxfId="20" priority="20">
      <formula>$AS$75=3</formula>
    </cfRule>
  </conditionalFormatting>
  <conditionalFormatting sqref="AF7">
    <cfRule type="expression" dxfId="19" priority="77">
      <formula>ISBLANK(AF7)</formula>
    </cfRule>
  </conditionalFormatting>
  <conditionalFormatting sqref="AG27 AJ27">
    <cfRule type="expression" dxfId="18" priority="933">
      <formula>$AN$27=1</formula>
    </cfRule>
  </conditionalFormatting>
  <conditionalFormatting sqref="AG85">
    <cfRule type="expression" priority="161" stopIfTrue="1">
      <formula>$AN$85=1</formula>
    </cfRule>
  </conditionalFormatting>
  <conditionalFormatting sqref="AG85:AG98 AA85:AA98 AA44:AA45 AI44:AI45">
    <cfRule type="cellIs" priority="955" stopIfTrue="1" operator="greaterThan">
      <formula>0</formula>
    </cfRule>
  </conditionalFormatting>
  <conditionalFormatting sqref="AG92">
    <cfRule type="expression" dxfId="17" priority="1061">
      <formula>$AO$92=2</formula>
    </cfRule>
  </conditionalFormatting>
  <conditionalFormatting sqref="AG93">
    <cfRule type="expression" dxfId="16" priority="1065">
      <formula>$AO$93=2</formula>
    </cfRule>
  </conditionalFormatting>
  <conditionalFormatting sqref="AG94">
    <cfRule type="expression" dxfId="15" priority="1069">
      <formula>$AO$94=2</formula>
    </cfRule>
  </conditionalFormatting>
  <conditionalFormatting sqref="AG142">
    <cfRule type="expression" dxfId="14" priority="120">
      <formula>ISBLANK(AG142)</formula>
    </cfRule>
  </conditionalFormatting>
  <conditionalFormatting sqref="AG58:AK59">
    <cfRule type="cellIs" dxfId="13" priority="97" operator="equal">
      <formula>0</formula>
    </cfRule>
  </conditionalFormatting>
  <conditionalFormatting sqref="AG107:AK108">
    <cfRule type="cellIs" dxfId="12" priority="96" operator="equal">
      <formula>0</formula>
    </cfRule>
  </conditionalFormatting>
  <conditionalFormatting sqref="AG153:AK154">
    <cfRule type="cellIs" dxfId="11" priority="87" operator="equal">
      <formula>0</formula>
    </cfRule>
  </conditionalFormatting>
  <conditionalFormatting sqref="AG202:AK203">
    <cfRule type="cellIs" dxfId="10" priority="15" operator="equal">
      <formula>0</formula>
    </cfRule>
  </conditionalFormatting>
  <conditionalFormatting sqref="AH31">
    <cfRule type="expression" dxfId="9" priority="184">
      <formula>ISBLANK(AH31)</formula>
    </cfRule>
  </conditionalFormatting>
  <conditionalFormatting sqref="AH112:AH117">
    <cfRule type="expression" dxfId="8" priority="23">
      <formula>$AM112=1</formula>
    </cfRule>
    <cfRule type="expression" dxfId="7" priority="25">
      <formula>$AO112=1</formula>
    </cfRule>
    <cfRule type="expression" dxfId="6" priority="24">
      <formula>$AN112=1</formula>
    </cfRule>
  </conditionalFormatting>
  <conditionalFormatting sqref="AH120:AH125">
    <cfRule type="expression" dxfId="5" priority="32">
      <formula>$AQ120=1</formula>
    </cfRule>
    <cfRule type="expression" dxfId="4" priority="31">
      <formula>$AS120=1</formula>
    </cfRule>
    <cfRule type="expression" dxfId="3" priority="22">
      <formula>ISBLANK(AH120)</formula>
    </cfRule>
    <cfRule type="expression" dxfId="2" priority="33">
      <formula>$AR120=1</formula>
    </cfRule>
  </conditionalFormatting>
  <conditionalFormatting sqref="AI65 AF65">
    <cfRule type="expression" dxfId="1" priority="8">
      <formula>$AN$65=1</formula>
    </cfRule>
  </conditionalFormatting>
  <conditionalFormatting sqref="AI65">
    <cfRule type="expression" dxfId="0" priority="7">
      <formula>$AO$65=2</formula>
    </cfRule>
  </conditionalFormatting>
  <dataValidations count="2">
    <dataValidation type="list" allowBlank="1" showInputMessage="1" showErrorMessage="1" sqref="AH69:AK69 AH31:AK31 W39:Y40 W44:Y49" xr:uid="{EFF34BD4-2D63-4A15-A0F4-ED4B04088EBB}">
      <formula1>Shape</formula1>
    </dataValidation>
    <dataValidation type="list" allowBlank="1" showInputMessage="1" showErrorMessage="1" sqref="Y31:AB31 Y69:AB69" xr:uid="{95FCC4B4-56CA-4569-99D6-198A1C4267E8}">
      <formula1>Material</formula1>
    </dataValidation>
  </dataValidations>
  <pageMargins left="0.2" right="0.2" top="0.5" bottom="0.25" header="0.3" footer="0.3"/>
  <pageSetup orientation="portrait" r:id="rId1"/>
  <rowBreaks count="4" manualBreakCount="4">
    <brk id="57" max="16383" man="1"/>
    <brk id="106" max="16383" man="1"/>
    <brk id="152" max="16383" man="1"/>
    <brk id="201" max="16383" man="1"/>
  </rowBreaks>
  <colBreaks count="1" manualBreakCount="1">
    <brk id="46" max="1048575" man="1"/>
  </col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78" id="{0D1D217B-B56F-4F5A-9201-0D9DB09550E1}">
            <xm:f>'Form 2B.1 - Design'!$AL$56=1</xm:f>
            <x14:dxf>
              <fill>
                <patternFill>
                  <bgColor theme="7" tint="0.59996337778862885"/>
                </patternFill>
              </fill>
            </x14:dxf>
          </x14:cfRule>
          <xm:sqref>K20:K21 AE20:AF21 K25:L25 AE25:AF25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51C0DC14-5C5B-497E-ADE8-E14CEC9C6FC0}">
          <x14:formula1>
            <xm:f>Tables!$D$2:$D$10</xm:f>
          </x14:formula1>
          <xm:sqref>E31</xm:sqref>
        </x14:dataValidation>
        <x14:dataValidation type="list" allowBlank="1" showInputMessage="1" showErrorMessage="1" xr:uid="{15328467-34E1-4429-BBED-E9EF3D4805F6}">
          <x14:formula1>
            <xm:f>Tables!$F$2:$F$7</xm:f>
          </x14:formula1>
          <xm:sqref>W41:Y41 Y171 Y169 Y167 Y165 Y163 Y161 H161 H163 H169 H167 H165 H171 H200:H201 H159 W150:Y152 W200:Y201 H150:H152 W245:Y245 H245 W105:Y106 H105:H106 Y155:Y159 H54:H65 H155:H157 W155:X171 W51:W65 X51:Y62 X64:Y64</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88C617DE-4C26-4923-9948-F785E7BC4D18}">
          <x14:formula1>
            <xm:f>Tables!$B$8</xm:f>
          </x14:formula1>
          <xm:sqref>AF7:AK7 G10 O10 AA10 AD125:AF125 AA16:AC19 AA20:AD21 AA23 AE23 AA25:AD25 Y27 AB27 AG27 AJ27 Y32:AA34 AH33:AJ34 Y36 AC36 AA39:AC40 AE39:AG40 AI39:AK40 Y42 AC42 AE44:AG49 AI44:AK49 X65:Y65 AH70:AJ71 Y70:AA71 AD74:AG75 AC184:AG184 AF65 AA12 AI65 AE63 AD79:AF80 V85:X98 AA85:AD98 AG85:AJ98 I120:K125 M120:O125 Q120:S125 U120:W125 Y120:AB125 AD6 AH120:AK125 B128:AK135 F138:V142 F145:V149 Z140:AC140 AH140:AK140 AG142:AK142 Z144 Z147:AC147 AH147:AK147 AA44:AC49 AG149:AK149 D158 F158 D160 F160 D162 F162 D164 F164 D166 F166 D168 F168 D170 F170 Y160:Z160 Y162:Z162 Y164:Z164 Y166:Z166 Y168:Z168 Y170:Z170 AC170:AI170 AC168:AI168 AC166:AI166 AC164:AI164 AC162:AI162 AC160:AI160 E177:Y179 E180:K180 O180:R180 W180:Y180 E181:Y181 E182:I182 Z148 Z141 G12</xm:sqref>
        </x14:dataValidation>
        <x14:dataValidation type="list" allowBlank="1" showInputMessage="1" showErrorMessage="1" xr:uid="{201E17EA-DA48-4074-89EE-B2D7B68EE7EB}">
          <x14:formula1>
            <xm:f>Tables!$H$9:$H$14</xm:f>
          </x14:formula1>
          <xm:sqref>AA62:AI62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2B.1 - Design</vt:lpstr>
      <vt:lpstr>Form 3B - As-built</vt:lpstr>
      <vt:lpstr>Material</vt:lpstr>
      <vt:lpstr>'Form 2B.1 - Design'!Print_Area</vt:lpstr>
      <vt:lpstr>'Form 3B - As-built'!Print_Area</vt:lpstr>
      <vt:lpstr>'Form 2B.1 - Design'!Print_Titles</vt:lpstr>
      <vt:lpstr>'Form 3B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2026-09-05T00:18:45Z</cp:lastPrinted>
  <dcterms:created xsi:type="dcterms:W3CDTF">2021-11-21T16:55:43Z</dcterms:created>
  <dcterms:modified xsi:type="dcterms:W3CDTF">2026-09-06T20:24:58Z</dcterms:modified>
</cp:coreProperties>
</file>