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89047388-F050-4FAA-87B1-53354A8A10E0}" xr6:coauthVersionLast="47" xr6:coauthVersionMax="47" xr10:uidLastSave="{00000000-0000-0000-0000-000000000000}"/>
  <workbookProtection workbookAlgorithmName="SHA-512" workbookHashValue="tn9aKhCUOEazsTp7eLTSPbdhhaVHGMynWK/gsLfXut/+jW2JBZ2w9Hq8rRB3rXUJwbx0uyb2Pl8yV7j9qcdj2w==" workbookSaltValue="q39glbjLgQ2MH3nykzbH2g==" workbookSpinCount="100000" lockStructure="1"/>
  <bookViews>
    <workbookView xWindow="-14685" yWindow="-16320" windowWidth="29040" windowHeight="15720" tabRatio="703" firstSheet="1" activeTab="1" xr2:uid="{994EC860-6224-46C4-B304-9868EEFCD4CE}"/>
  </bookViews>
  <sheets>
    <sheet name="Tables" sheetId="2" state="veryHidden" r:id="rId1"/>
    <sheet name="License" sheetId="7" r:id="rId2"/>
    <sheet name="General Instructions" sheetId="9" r:id="rId3"/>
    <sheet name="Form 2A.1 - Design" sheetId="5" r:id="rId4"/>
    <sheet name="Form 3A - As-built" sheetId="3" r:id="rId5"/>
  </sheets>
  <definedNames>
    <definedName name="_Hlk68675965" localSheetId="4">'Form 3A - As-built'!#REF!</definedName>
    <definedName name="Logo">INDEX(Tables!$F$40:$F$46,MATCH(Tables!$F$14,Tables!$E$40:$E$46,0))</definedName>
    <definedName name="Material">Tables!$D$2:$D$10</definedName>
    <definedName name="_xlnm.Print_Area" localSheetId="3">'Form 2A.1 - Design'!$A$1:$AK$199</definedName>
    <definedName name="_xlnm.Print_Area" localSheetId="4">'Form 3A - As-built'!$A$1:$AL$196</definedName>
    <definedName name="_xlnm.Print_Titles" localSheetId="3">'Form 2A.1 - Design'!$1:$4</definedName>
    <definedName name="_xlnm.Print_Titles" localSheetId="4">'Form 3A - As-built'!$1:$4</definedName>
    <definedName name="Shape">Tables!$F$2:$F$11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80" i="3" l="1"/>
  <c r="AN80" i="3"/>
  <c r="AM101" i="5"/>
  <c r="AN78" i="5"/>
  <c r="AQ84" i="5"/>
  <c r="AM57" i="5"/>
  <c r="AM78" i="3" l="1"/>
  <c r="AR80" i="5" l="1"/>
  <c r="AS80" i="5" s="1"/>
  <c r="AQ82" i="5" s="1"/>
  <c r="AQ80" i="5"/>
  <c r="T80" i="5" s="1"/>
  <c r="AO101" i="5"/>
  <c r="AM78" i="5"/>
  <c r="AL78" i="5"/>
  <c r="AL51" i="5"/>
  <c r="M182" i="5" l="1"/>
  <c r="AL182" i="5" s="1"/>
  <c r="J23" i="2"/>
  <c r="M39" i="3"/>
  <c r="E39" i="3"/>
  <c r="AO96" i="3"/>
  <c r="P22" i="2" l="1"/>
  <c r="P19" i="2"/>
  <c r="AM80" i="3"/>
  <c r="P80" i="3"/>
  <c r="AO80" i="3" s="1"/>
  <c r="M80" i="3"/>
  <c r="AL101" i="5"/>
  <c r="AT128" i="5"/>
  <c r="AD6" i="3"/>
  <c r="AM152" i="5" l="1"/>
  <c r="I153" i="5" s="1"/>
  <c r="AN27" i="3" l="1"/>
  <c r="AL142" i="5" l="1"/>
  <c r="AM138" i="5"/>
  <c r="AM140" i="5"/>
  <c r="AL140" i="5"/>
  <c r="AL138" i="5"/>
  <c r="B6" i="9" l="1"/>
  <c r="B34" i="9" s="1"/>
  <c r="B35" i="9" s="1"/>
  <c r="F39" i="2"/>
  <c r="F32" i="7" l="1"/>
  <c r="F7" i="7"/>
  <c r="F13" i="7"/>
  <c r="F29" i="7"/>
  <c r="AM62" i="3"/>
  <c r="F38" i="2"/>
  <c r="B2" i="2"/>
  <c r="B6" i="2" s="1"/>
  <c r="O2" i="7" s="1"/>
  <c r="A2" i="7"/>
  <c r="B7" i="2"/>
  <c r="O1" i="7"/>
  <c r="E28" i="2"/>
  <c r="M22" i="2"/>
  <c r="M19" i="2"/>
  <c r="F37" i="2"/>
  <c r="F33" i="2"/>
  <c r="AP128" i="5" s="1"/>
  <c r="F32" i="2"/>
  <c r="F30" i="2"/>
  <c r="F29" i="2"/>
  <c r="F28" i="2"/>
  <c r="F27" i="2"/>
  <c r="F26" i="2"/>
  <c r="J18" i="2" s="1"/>
  <c r="F25" i="2"/>
  <c r="F24" i="2"/>
  <c r="AC10" i="3" s="1"/>
  <c r="F23" i="2"/>
  <c r="F22" i="7" s="1"/>
  <c r="F22" i="2"/>
  <c r="F21" i="2"/>
  <c r="F20" i="2"/>
  <c r="F19" i="2"/>
  <c r="F18" i="2"/>
  <c r="F17" i="2"/>
  <c r="F16" i="2"/>
  <c r="F15" i="2"/>
  <c r="AN71" i="5"/>
  <c r="AL69" i="5"/>
  <c r="AM178" i="3"/>
  <c r="AC10" i="5" l="1"/>
  <c r="AX26" i="5"/>
  <c r="AX22" i="5"/>
  <c r="AQ101" i="5"/>
  <c r="AS80" i="3"/>
  <c r="AQ80" i="3" s="1"/>
  <c r="AW39" i="5"/>
  <c r="AX21" i="5"/>
  <c r="I144" i="5"/>
  <c r="U142" i="5"/>
  <c r="U140" i="5"/>
  <c r="O138" i="5"/>
  <c r="B8" i="2"/>
  <c r="P41" i="3"/>
  <c r="M41" i="3"/>
  <c r="E41" i="3"/>
  <c r="H38" i="3"/>
  <c r="AN41" i="3"/>
  <c r="AO41" i="3"/>
  <c r="AM41" i="3"/>
  <c r="AN39" i="3"/>
  <c r="AM39" i="3"/>
  <c r="AM38" i="3"/>
  <c r="J21" i="2" l="1"/>
  <c r="M177" i="3" s="1"/>
  <c r="AM177" i="3" s="1"/>
  <c r="AN101" i="5"/>
  <c r="F3" i="7"/>
  <c r="A3" i="7" s="1"/>
  <c r="M188" i="5" l="1"/>
  <c r="AL188" i="5" s="1"/>
  <c r="AO86" i="5"/>
  <c r="AO85" i="5"/>
  <c r="AO80" i="5"/>
  <c r="AO82" i="5"/>
  <c r="AL82" i="5"/>
  <c r="AM82" i="5"/>
  <c r="AN82" i="5"/>
  <c r="AL80" i="5"/>
  <c r="AL112" i="5"/>
  <c r="AP80" i="5"/>
  <c r="AP82" i="5"/>
  <c r="AL134" i="5"/>
  <c r="AM132" i="5"/>
  <c r="AM136" i="5"/>
  <c r="AL136" i="5"/>
  <c r="AM134" i="5"/>
  <c r="AL132" i="5"/>
  <c r="AM130" i="5"/>
  <c r="AL130" i="5"/>
  <c r="AM80" i="5" l="1"/>
  <c r="S22" i="2"/>
  <c r="R22" i="2"/>
  <c r="Q22" i="2"/>
  <c r="O22" i="2"/>
  <c r="N22" i="2"/>
  <c r="Q19" i="2"/>
  <c r="R19" i="2"/>
  <c r="S19" i="2"/>
  <c r="O19" i="2"/>
  <c r="N19" i="2"/>
  <c r="M181" i="5" l="1"/>
  <c r="AL181" i="5" s="1"/>
  <c r="F34" i="2"/>
  <c r="AS128" i="5" s="1"/>
  <c r="F31" i="2"/>
  <c r="AS126" i="5" s="1"/>
  <c r="AN144" i="5"/>
  <c r="AR87" i="3" s="1"/>
  <c r="AP144" i="5"/>
  <c r="AO144" i="5"/>
  <c r="AM144" i="5"/>
  <c r="AL144" i="5"/>
  <c r="AQ144" i="5" l="1"/>
  <c r="AM15" i="5" l="1"/>
  <c r="AM146" i="5"/>
  <c r="AL146" i="5"/>
  <c r="M178" i="5"/>
  <c r="AL178" i="5" s="1"/>
  <c r="AT93" i="3"/>
  <c r="AT94" i="3"/>
  <c r="AT95" i="3"/>
  <c r="AT96" i="3"/>
  <c r="AT97" i="3"/>
  <c r="AT92" i="3"/>
  <c r="AT91" i="3" l="1"/>
  <c r="M182" i="3" s="1"/>
  <c r="Y84" i="3" l="1"/>
  <c r="Y89" i="3"/>
  <c r="Y88" i="3"/>
  <c r="Y87" i="3"/>
  <c r="Y86" i="3"/>
  <c r="Y85" i="3"/>
  <c r="AR51" i="3"/>
  <c r="AR50" i="3"/>
  <c r="M175" i="3" l="1"/>
  <c r="AM175" i="3" s="1"/>
  <c r="J6" i="2"/>
  <c r="AQ89" i="5"/>
  <c r="AO89" i="5"/>
  <c r="M186" i="5" l="1"/>
  <c r="AL186" i="5" s="1"/>
  <c r="AM14" i="5" l="1"/>
  <c r="AL14" i="5"/>
  <c r="AL42" i="5"/>
  <c r="AM16" i="5" l="1"/>
  <c r="K2" i="2"/>
  <c r="K3" i="2" s="1"/>
  <c r="K4" i="2" s="1"/>
  <c r="K5" i="2" s="1"/>
  <c r="K6" i="2" s="1"/>
  <c r="K7" i="2" s="1"/>
  <c r="K8" i="2" s="1"/>
  <c r="K9" i="2" s="1"/>
  <c r="K10" i="2" s="1"/>
  <c r="K11" i="2" s="1"/>
  <c r="K12" i="2" s="1"/>
  <c r="K13" i="2" s="1"/>
  <c r="K14" i="2" s="1"/>
  <c r="K15" i="2" s="1"/>
  <c r="K16" i="2" s="1"/>
  <c r="K17" i="2" s="1"/>
  <c r="K18" i="2" s="1"/>
  <c r="K19" i="2" s="1"/>
  <c r="K20" i="2" s="1"/>
  <c r="K21" i="2" s="1"/>
  <c r="K22" i="2" s="1"/>
  <c r="K23" i="2" s="1"/>
  <c r="I26" i="5" l="1"/>
  <c r="I39" i="5"/>
  <c r="N19" i="5"/>
  <c r="AP14" i="5"/>
  <c r="AA17" i="5"/>
  <c r="N16" i="5"/>
  <c r="N21" i="5"/>
  <c r="AE14" i="5"/>
  <c r="N17" i="5"/>
  <c r="AE15" i="5"/>
  <c r="N18" i="5"/>
  <c r="N20" i="5"/>
  <c r="AO128" i="5"/>
  <c r="AP126" i="5"/>
  <c r="AN123" i="5"/>
  <c r="AN122" i="5"/>
  <c r="AN121" i="5"/>
  <c r="AN120" i="5"/>
  <c r="AN119" i="5"/>
  <c r="AN118" i="5"/>
  <c r="AS123" i="5" l="1"/>
  <c r="AR123" i="5"/>
  <c r="F35" i="2"/>
  <c r="AQ86" i="3"/>
  <c r="AX25" i="5" l="1"/>
  <c r="F36" i="2"/>
  <c r="AJ124" i="5" l="1"/>
  <c r="J14" i="2"/>
  <c r="AX23" i="5"/>
  <c r="J16" i="2"/>
  <c r="AQ128" i="5"/>
  <c r="AQ126" i="5"/>
  <c r="I29" i="3"/>
  <c r="AP132" i="3"/>
  <c r="AP146" i="3"/>
  <c r="AP144" i="3"/>
  <c r="AP142" i="3"/>
  <c r="AP140" i="3"/>
  <c r="AP138" i="3"/>
  <c r="AP136" i="3"/>
  <c r="AP134" i="3"/>
  <c r="AP130" i="3" l="1"/>
  <c r="AF170" i="3"/>
  <c r="AN109" i="5" l="1"/>
  <c r="AN110" i="5"/>
  <c r="AN111" i="5"/>
  <c r="AN112" i="5"/>
  <c r="AN113" i="5"/>
  <c r="AN108" i="5"/>
  <c r="AH84" i="3"/>
  <c r="AM128" i="5" l="1"/>
  <c r="AL128" i="5"/>
  <c r="AL29" i="5"/>
  <c r="AH87" i="3"/>
  <c r="I86" i="3"/>
  <c r="AN114" i="5"/>
  <c r="AO126" i="5"/>
  <c r="AQ85" i="3" l="1"/>
  <c r="AN128" i="5"/>
  <c r="AP86" i="3"/>
  <c r="I85" i="3"/>
  <c r="AP110" i="5" l="1"/>
  <c r="AP111" i="5"/>
  <c r="AP112" i="5"/>
  <c r="AP109" i="5"/>
  <c r="AP108" i="5"/>
  <c r="AP113" i="5"/>
  <c r="AR86" i="3"/>
  <c r="AO97" i="3"/>
  <c r="AR95" i="3" l="1"/>
  <c r="AR94" i="3"/>
  <c r="AR96" i="3"/>
  <c r="AR97" i="3"/>
  <c r="AR93" i="3"/>
  <c r="AR92" i="3"/>
  <c r="AO84" i="3"/>
  <c r="AO87" i="3"/>
  <c r="M173" i="3"/>
  <c r="AL113" i="5"/>
  <c r="M184" i="5" s="1"/>
  <c r="AR91" i="3" l="1"/>
  <c r="M186" i="3" s="1"/>
  <c r="AM186" i="3" s="1"/>
  <c r="AP107" i="5"/>
  <c r="M196" i="5" s="1"/>
  <c r="AQ113" i="5"/>
  <c r="AQ112" i="5"/>
  <c r="AQ110" i="5"/>
  <c r="AQ109" i="5"/>
  <c r="AQ108" i="5"/>
  <c r="AQ111" i="5"/>
  <c r="AM23" i="5"/>
  <c r="AL152" i="5"/>
  <c r="AM150" i="5"/>
  <c r="AH88" i="3"/>
  <c r="AO88" i="3" s="1"/>
  <c r="AL23" i="5" l="1"/>
  <c r="AO99" i="5" l="1"/>
  <c r="AL150" i="5"/>
  <c r="AM148" i="5"/>
  <c r="AM126" i="5"/>
  <c r="AP85" i="3" s="1"/>
  <c r="AL148" i="5"/>
  <c r="AL126" i="5"/>
  <c r="AN126" i="5" l="1"/>
  <c r="AN150" i="5"/>
  <c r="AO112" i="5" l="1"/>
  <c r="AO113" i="5"/>
  <c r="AO111" i="5"/>
  <c r="AO108" i="5"/>
  <c r="AO110" i="5"/>
  <c r="AO109" i="5"/>
  <c r="AR85" i="3"/>
  <c r="AQ94" i="3" l="1"/>
  <c r="AQ96" i="3"/>
  <c r="AQ93" i="3"/>
  <c r="AQ92" i="3"/>
  <c r="AQ95" i="3"/>
  <c r="AQ97" i="3"/>
  <c r="AN87" i="3"/>
  <c r="AN84" i="3"/>
  <c r="AN88" i="3"/>
  <c r="AO107" i="5"/>
  <c r="M195" i="5" l="1"/>
  <c r="AL195" i="5" s="1"/>
  <c r="AL196" i="5"/>
  <c r="AQ91" i="3"/>
  <c r="M185" i="3" s="1"/>
  <c r="AM185" i="3" s="1"/>
  <c r="AN104" i="5" l="1"/>
  <c r="AS92" i="3"/>
  <c r="AW19" i="5" l="1"/>
  <c r="AW17" i="5" l="1"/>
  <c r="B113" i="5" l="1"/>
  <c r="C97" i="3"/>
  <c r="C89" i="3"/>
  <c r="F47" i="5"/>
  <c r="F34" i="5"/>
  <c r="G97" i="3" l="1"/>
  <c r="G96" i="3"/>
  <c r="G95" i="3"/>
  <c r="G94" i="3"/>
  <c r="G93" i="3"/>
  <c r="G92" i="3"/>
  <c r="G89" i="3"/>
  <c r="G88" i="3"/>
  <c r="G87" i="3"/>
  <c r="G86" i="3"/>
  <c r="G85" i="3"/>
  <c r="G84" i="3"/>
  <c r="G113" i="5"/>
  <c r="G112" i="5"/>
  <c r="G111" i="5"/>
  <c r="G110" i="5"/>
  <c r="G109" i="5"/>
  <c r="G108" i="5"/>
  <c r="J42" i="5"/>
  <c r="J29" i="5"/>
  <c r="J47" i="5"/>
  <c r="J46" i="5"/>
  <c r="J45" i="5"/>
  <c r="J44" i="5"/>
  <c r="J43" i="5"/>
  <c r="J34" i="5"/>
  <c r="J33" i="5"/>
  <c r="J32" i="5"/>
  <c r="J31" i="5"/>
  <c r="J30" i="5"/>
  <c r="AV14" i="3" l="1"/>
  <c r="AV23" i="3" s="1"/>
  <c r="AV35" i="3" s="1"/>
  <c r="AV49" i="3" s="1"/>
  <c r="AV13" i="5" l="1"/>
  <c r="AV14" i="5" s="1"/>
  <c r="AV16" i="5" s="1"/>
  <c r="AV18" i="5" s="1"/>
  <c r="AV31" i="5" s="1"/>
  <c r="AV33" i="5" s="1"/>
  <c r="AV35" i="5" s="1"/>
  <c r="AV39" i="5" l="1"/>
  <c r="AV41" i="5" s="1"/>
  <c r="AV45" i="5" s="1"/>
  <c r="AV46" i="5" s="1"/>
  <c r="AV54" i="5" s="1"/>
  <c r="AV55" i="5" s="1"/>
  <c r="AV58" i="5" s="1"/>
  <c r="AV59" i="5" s="1"/>
  <c r="AO146" i="3"/>
  <c r="AN146" i="3"/>
  <c r="AM146" i="3"/>
  <c r="AO144" i="3"/>
  <c r="AN144" i="3"/>
  <c r="AM144" i="3"/>
  <c r="AO142" i="3"/>
  <c r="AN142" i="3"/>
  <c r="AM142" i="3"/>
  <c r="AO140" i="3" l="1"/>
  <c r="AN140" i="3"/>
  <c r="AM140" i="3"/>
  <c r="AO138" i="3"/>
  <c r="AN138" i="3"/>
  <c r="AM138" i="3"/>
  <c r="AO136" i="3"/>
  <c r="AN136" i="3"/>
  <c r="AM136" i="3"/>
  <c r="AO134" i="3"/>
  <c r="AN134" i="3"/>
  <c r="AM134" i="3"/>
  <c r="AO132" i="3"/>
  <c r="AN132" i="3"/>
  <c r="AM132" i="3"/>
  <c r="B196" i="3"/>
  <c r="B198" i="5"/>
  <c r="AM130" i="3" l="1"/>
  <c r="M187" i="3" s="1"/>
  <c r="AM187" i="3" s="1"/>
  <c r="AN99" i="5"/>
  <c r="AL72" i="5" l="1"/>
  <c r="AL73" i="5"/>
  <c r="AL74" i="5"/>
  <c r="AL75" i="5"/>
  <c r="AL76" i="5"/>
  <c r="AL71" i="5"/>
  <c r="AL109" i="5"/>
  <c r="AL110" i="5"/>
  <c r="AL111" i="5"/>
  <c r="AL108" i="5"/>
  <c r="AL30" i="5"/>
  <c r="AL31" i="5"/>
  <c r="AL32" i="5"/>
  <c r="AL33" i="5"/>
  <c r="AL34" i="5"/>
  <c r="AL107" i="5" l="1"/>
  <c r="AN107" i="5"/>
  <c r="M193" i="5" s="1"/>
  <c r="AL28" i="5"/>
  <c r="AS93" i="3"/>
  <c r="AS94" i="3"/>
  <c r="AS95" i="3"/>
  <c r="AS96" i="3"/>
  <c r="AS97" i="3"/>
  <c r="AP97" i="3"/>
  <c r="AP91" i="3" s="1"/>
  <c r="AO93" i="3"/>
  <c r="AO94" i="3"/>
  <c r="AO95" i="3"/>
  <c r="AO92" i="3"/>
  <c r="AN93" i="3"/>
  <c r="AN95" i="3"/>
  <c r="AN96" i="3"/>
  <c r="AN97" i="3"/>
  <c r="AN92" i="3"/>
  <c r="AO45" i="3"/>
  <c r="AM45" i="3"/>
  <c r="AM46" i="3"/>
  <c r="AO91" i="3" l="1"/>
  <c r="AS91" i="3"/>
  <c r="M184" i="3" s="1"/>
  <c r="AM184" i="3" s="1"/>
  <c r="AL47" i="5"/>
  <c r="AL46" i="5"/>
  <c r="AL45" i="5"/>
  <c r="AL44" i="5"/>
  <c r="AL43" i="5"/>
  <c r="AN34" i="5"/>
  <c r="AQ107" i="5" l="1"/>
  <c r="M194" i="5" s="1"/>
  <c r="AL194" i="5" s="1"/>
  <c r="AL41" i="5"/>
  <c r="B112" i="5"/>
  <c r="AD25" i="3"/>
  <c r="AD30" i="3"/>
  <c r="AD31" i="3"/>
  <c r="AD32" i="3"/>
  <c r="AD33" i="3"/>
  <c r="AD34" i="3"/>
  <c r="AD29" i="3"/>
  <c r="L71" i="5"/>
  <c r="L67" i="5"/>
  <c r="L73" i="5"/>
  <c r="L74" i="5"/>
  <c r="L75" i="5"/>
  <c r="L76" i="5"/>
  <c r="L72" i="5"/>
  <c r="C84" i="3" l="1"/>
  <c r="C92" i="3"/>
  <c r="C85" i="3"/>
  <c r="C93" i="3"/>
  <c r="C86" i="3"/>
  <c r="C94" i="3"/>
  <c r="C87" i="3"/>
  <c r="C95" i="3"/>
  <c r="C96" i="3"/>
  <c r="C88" i="3"/>
  <c r="F43" i="5"/>
  <c r="B109" i="5"/>
  <c r="F30" i="5"/>
  <c r="B110" i="5"/>
  <c r="F31" i="5"/>
  <c r="F44" i="5"/>
  <c r="F29" i="5"/>
  <c r="B108" i="5"/>
  <c r="F42" i="5"/>
  <c r="F32" i="5"/>
  <c r="F45" i="5"/>
  <c r="B111" i="5"/>
  <c r="F33" i="5"/>
  <c r="F46" i="5"/>
  <c r="AP82" i="3"/>
  <c r="J13" i="2"/>
  <c r="AM114" i="5"/>
  <c r="Q59" i="3"/>
  <c r="AM47" i="3"/>
  <c r="AO46" i="3"/>
  <c r="AO47" i="3"/>
  <c r="AR109" i="5" l="1"/>
  <c r="AR113" i="5"/>
  <c r="AR108" i="5"/>
  <c r="AR110" i="5"/>
  <c r="AR111" i="5"/>
  <c r="AR112" i="5"/>
  <c r="AM44" i="3"/>
  <c r="M172" i="3" s="1"/>
  <c r="AM113" i="5"/>
  <c r="AM107" i="5" s="1"/>
  <c r="AM173" i="3"/>
  <c r="AH85" i="3"/>
  <c r="AH86" i="3"/>
  <c r="AO86" i="3" l="1"/>
  <c r="AN86" i="3"/>
  <c r="AO85" i="3"/>
  <c r="AN85" i="3"/>
  <c r="AR107" i="5"/>
  <c r="M191" i="5" s="1"/>
  <c r="AM86" i="3"/>
  <c r="AM85" i="3"/>
  <c r="I84" i="3"/>
  <c r="AM84" i="3" s="1"/>
  <c r="J21" i="5"/>
  <c r="AL191" i="5" l="1"/>
  <c r="AL17" i="5"/>
  <c r="AP15" i="5"/>
  <c r="AP16" i="5" s="1"/>
  <c r="AM92" i="3"/>
  <c r="W21" i="5" l="1"/>
  <c r="AE17" i="5"/>
  <c r="W20" i="5"/>
  <c r="AL189" i="5"/>
  <c r="AG152" i="3" l="1"/>
  <c r="AH89" i="3"/>
  <c r="AD89" i="3"/>
  <c r="U85" i="3"/>
  <c r="U86" i="3"/>
  <c r="U87" i="3"/>
  <c r="U88" i="3"/>
  <c r="U89" i="3"/>
  <c r="Q85" i="3"/>
  <c r="Q86" i="3"/>
  <c r="Q87" i="3"/>
  <c r="Q88" i="3"/>
  <c r="Q89" i="3"/>
  <c r="M85" i="3"/>
  <c r="M86" i="3"/>
  <c r="AN94" i="3" s="1"/>
  <c r="M87" i="3"/>
  <c r="M88" i="3"/>
  <c r="M89" i="3"/>
  <c r="AM94" i="3"/>
  <c r="I87" i="3"/>
  <c r="I88" i="3"/>
  <c r="I89" i="3"/>
  <c r="U84" i="3"/>
  <c r="Q84" i="3"/>
  <c r="M84" i="3"/>
  <c r="N72" i="3"/>
  <c r="N73" i="3"/>
  <c r="N74" i="3"/>
  <c r="N75" i="3"/>
  <c r="N76" i="3"/>
  <c r="N77" i="3"/>
  <c r="H72" i="3"/>
  <c r="H73" i="3"/>
  <c r="H74" i="3"/>
  <c r="H75" i="3"/>
  <c r="H76" i="3"/>
  <c r="H77" i="3"/>
  <c r="C72" i="3"/>
  <c r="C73" i="3"/>
  <c r="C74" i="3"/>
  <c r="C75" i="3"/>
  <c r="C76" i="3"/>
  <c r="C77" i="3"/>
  <c r="N71" i="3"/>
  <c r="H71" i="3"/>
  <c r="C71" i="3"/>
  <c r="N65" i="3"/>
  <c r="N66" i="3"/>
  <c r="N67" i="3"/>
  <c r="N68" i="3"/>
  <c r="N69" i="3"/>
  <c r="N70" i="3"/>
  <c r="H65" i="3"/>
  <c r="H66" i="3"/>
  <c r="H67" i="3"/>
  <c r="H68" i="3"/>
  <c r="H69" i="3"/>
  <c r="H70" i="3"/>
  <c r="C65" i="3"/>
  <c r="C66" i="3"/>
  <c r="C67" i="3"/>
  <c r="C68" i="3"/>
  <c r="C69" i="3"/>
  <c r="C70" i="3"/>
  <c r="N64" i="3"/>
  <c r="H64" i="3"/>
  <c r="C64" i="3"/>
  <c r="J50" i="3"/>
  <c r="O47" i="3"/>
  <c r="O46" i="3"/>
  <c r="O45" i="3"/>
  <c r="E47" i="3"/>
  <c r="E46" i="3"/>
  <c r="E45" i="3"/>
  <c r="Q30" i="3"/>
  <c r="Q31" i="3"/>
  <c r="Q32" i="3"/>
  <c r="Q33" i="3"/>
  <c r="Q34" i="3"/>
  <c r="Q29" i="3"/>
  <c r="M30" i="3"/>
  <c r="M31" i="3"/>
  <c r="M32" i="3"/>
  <c r="M33" i="3"/>
  <c r="M34" i="3"/>
  <c r="M29" i="3"/>
  <c r="I30" i="3"/>
  <c r="I31" i="3"/>
  <c r="I32" i="3"/>
  <c r="I33" i="3"/>
  <c r="I34" i="3"/>
  <c r="E30" i="3"/>
  <c r="L30" i="3" s="1"/>
  <c r="E31" i="3"/>
  <c r="L31" i="3" s="1"/>
  <c r="E32" i="3"/>
  <c r="L32" i="3" s="1"/>
  <c r="E33" i="3"/>
  <c r="L33" i="3" s="1"/>
  <c r="E34" i="3"/>
  <c r="L34" i="3" s="1"/>
  <c r="E29" i="3"/>
  <c r="Q25" i="3"/>
  <c r="M25" i="3"/>
  <c r="I25" i="3"/>
  <c r="Q24" i="3"/>
  <c r="M24" i="3"/>
  <c r="I24" i="3"/>
  <c r="E25" i="3"/>
  <c r="L25" i="3" s="1"/>
  <c r="E24" i="3"/>
  <c r="B30" i="3"/>
  <c r="B31" i="3"/>
  <c r="B32" i="3"/>
  <c r="B33" i="3"/>
  <c r="B34" i="3"/>
  <c r="B29" i="3"/>
  <c r="AO89" i="3" l="1"/>
  <c r="AN89" i="3"/>
  <c r="AM97" i="3"/>
  <c r="AM89" i="3"/>
  <c r="AM96" i="3"/>
  <c r="AM88" i="3"/>
  <c r="AM95" i="3"/>
  <c r="AM87" i="3"/>
  <c r="AM93" i="3"/>
  <c r="L29" i="3"/>
  <c r="AM91" i="3" l="1"/>
  <c r="M179" i="3" s="1"/>
  <c r="AM179" i="3" s="1"/>
  <c r="AG101" i="3"/>
  <c r="AG55" i="3"/>
  <c r="AO92" i="5"/>
  <c r="AN92" i="5"/>
  <c r="AL184" i="5"/>
  <c r="AE157" i="5" l="1"/>
  <c r="AE156" i="5"/>
  <c r="D156" i="5"/>
  <c r="AY21" i="3" l="1"/>
  <c r="D160" i="5" l="1"/>
  <c r="AW49" i="3"/>
  <c r="AN67" i="5" l="1"/>
  <c r="AM62" i="5"/>
  <c r="E7" i="3" l="1"/>
  <c r="D152" i="3" s="1"/>
  <c r="B151" i="3"/>
  <c r="B100" i="3"/>
  <c r="B54" i="3"/>
  <c r="B155" i="5"/>
  <c r="B103" i="5"/>
  <c r="B53" i="5"/>
  <c r="AM122" i="3"/>
  <c r="AM18" i="3" l="1"/>
  <c r="AM17" i="3"/>
  <c r="AL59" i="5"/>
  <c r="AL58" i="5"/>
  <c r="G15" i="2" l="1"/>
  <c r="AA20" i="5" s="1"/>
  <c r="AM64" i="3"/>
  <c r="AN64" i="3"/>
  <c r="AM51" i="3"/>
  <c r="AM50" i="3"/>
  <c r="P24" i="5"/>
  <c r="W19" i="5" l="1"/>
  <c r="AO50" i="3"/>
  <c r="AQ88" i="5"/>
  <c r="AO88" i="5"/>
  <c r="AO87" i="5"/>
  <c r="AM87" i="5"/>
  <c r="AM86" i="5"/>
  <c r="AM47" i="5"/>
  <c r="AM46" i="5"/>
  <c r="AM45" i="5"/>
  <c r="AM44" i="5"/>
  <c r="AM43" i="5"/>
  <c r="AM42" i="5"/>
  <c r="AM30" i="5"/>
  <c r="AM31" i="5"/>
  <c r="AM32" i="5"/>
  <c r="AM33" i="5"/>
  <c r="AM34" i="5"/>
  <c r="AM29" i="5"/>
  <c r="AM85" i="5"/>
  <c r="M174" i="3" l="1"/>
  <c r="AM174" i="3" s="1"/>
  <c r="AM84" i="5"/>
  <c r="M183" i="5" s="1"/>
  <c r="AM88" i="5"/>
  <c r="M185" i="5" s="1"/>
  <c r="AL185" i="5" s="1"/>
  <c r="AM41" i="5"/>
  <c r="M180" i="5" s="1"/>
  <c r="AF8" i="3"/>
  <c r="AG153" i="3" s="1"/>
  <c r="I27" i="3"/>
  <c r="E27" i="3"/>
  <c r="I21" i="3"/>
  <c r="E21" i="3"/>
  <c r="L19" i="3"/>
  <c r="E19" i="3"/>
  <c r="L18" i="3"/>
  <c r="E18" i="3"/>
  <c r="E17" i="3"/>
  <c r="L16" i="3"/>
  <c r="E16" i="3"/>
  <c r="E8" i="3"/>
  <c r="AL84" i="5"/>
  <c r="AL57" i="5"/>
  <c r="AB37" i="5"/>
  <c r="X37" i="5"/>
  <c r="T37" i="5"/>
  <c r="P37" i="5"/>
  <c r="L37" i="5"/>
  <c r="L24" i="5"/>
  <c r="AB24" i="5"/>
  <c r="X24" i="5"/>
  <c r="T24" i="5"/>
  <c r="AL93" i="5"/>
  <c r="AM93" i="5"/>
  <c r="AL94" i="5"/>
  <c r="AM94" i="5"/>
  <c r="AL95" i="5"/>
  <c r="AM95" i="5"/>
  <c r="AL96" i="5"/>
  <c r="AM96" i="5"/>
  <c r="AL97" i="5"/>
  <c r="AM97" i="5"/>
  <c r="AL98" i="5"/>
  <c r="AM98" i="5"/>
  <c r="AM92" i="5"/>
  <c r="AL92" i="5"/>
  <c r="AM67" i="5"/>
  <c r="AL67" i="5"/>
  <c r="AL65" i="5"/>
  <c r="AL62" i="5"/>
  <c r="AE105" i="5"/>
  <c r="AE104" i="5"/>
  <c r="D104" i="5"/>
  <c r="AE55" i="5"/>
  <c r="AE54" i="5"/>
  <c r="D54" i="5"/>
  <c r="W17" i="5"/>
  <c r="BO1" i="5"/>
  <c r="AN122" i="3"/>
  <c r="AM34" i="3"/>
  <c r="AM33" i="3"/>
  <c r="AM32" i="3"/>
  <c r="AM31" i="3"/>
  <c r="AM30" i="3"/>
  <c r="AM29" i="3"/>
  <c r="AM25" i="3"/>
  <c r="AO77" i="3"/>
  <c r="AO76" i="3"/>
  <c r="AO75" i="3"/>
  <c r="AO74" i="3"/>
  <c r="AO73" i="3"/>
  <c r="AO72" i="3"/>
  <c r="AO71" i="3"/>
  <c r="AO70" i="3"/>
  <c r="AO69" i="3"/>
  <c r="AO68" i="3"/>
  <c r="AO67" i="3"/>
  <c r="AO66" i="3"/>
  <c r="AO65" i="3"/>
  <c r="AO64" i="3"/>
  <c r="AM24" i="3"/>
  <c r="AM27" i="3"/>
  <c r="AM21" i="3"/>
  <c r="AL183" i="5" l="1"/>
  <c r="AM28" i="5"/>
  <c r="M179" i="5" s="1"/>
  <c r="AM182" i="3"/>
  <c r="AM172" i="3"/>
  <c r="M183" i="3" l="1"/>
  <c r="AM183" i="3" s="1"/>
  <c r="M181" i="3"/>
  <c r="AM181" i="3" s="1"/>
  <c r="M192" i="5"/>
  <c r="AL192" i="5" s="1"/>
  <c r="M190" i="5"/>
  <c r="AL190" i="5" s="1"/>
  <c r="AL180" i="5"/>
  <c r="AL179" i="5"/>
  <c r="H99" i="5"/>
  <c r="AM99" i="5" s="1"/>
  <c r="AN91" i="3"/>
  <c r="AP99" i="5" l="1"/>
  <c r="M180" i="3"/>
  <c r="AM180" i="3" s="1"/>
  <c r="K59" i="3"/>
  <c r="AM59" i="3" s="1"/>
  <c r="AL193" i="5"/>
  <c r="AG102" i="3"/>
  <c r="D55" i="3"/>
  <c r="M187" i="5" l="1"/>
  <c r="AL187" i="5" s="1"/>
  <c r="AL177" i="5" s="1"/>
  <c r="AO59" i="3"/>
  <c r="M176" i="3" s="1"/>
  <c r="AM176" i="3" s="1"/>
  <c r="AG56" i="3"/>
  <c r="D101" i="3"/>
  <c r="AM6" i="3"/>
  <c r="AM17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Note</author>
  </authors>
  <commentList>
    <comment ref="AC6" authorId="0" shapeId="0" xr:uid="{7BC90E7A-85AC-4440-A04B-63F3F0F98E14}">
      <text>
        <r>
          <rPr>
            <b/>
            <sz val="9"/>
            <color indexed="81"/>
            <rFont val="Tahoma"/>
            <family val="2"/>
          </rPr>
          <t xml:space="preserve">Note:  </t>
        </r>
        <r>
          <rPr>
            <sz val="9"/>
            <color indexed="81"/>
            <rFont val="Tahoma"/>
            <family val="2"/>
          </rPr>
          <t>Enter the parcel number with no spaces as shown below: 1234567891234.560</t>
        </r>
      </text>
    </comment>
    <comment ref="AA15" authorId="1" shapeId="0" xr:uid="{85C581C2-F67F-4C82-96EC-1E6D0931755E}">
      <text>
        <r>
          <rPr>
            <b/>
            <sz val="9"/>
            <color indexed="81"/>
            <rFont val="Tahoma"/>
            <family val="2"/>
          </rPr>
          <t>Note:</t>
        </r>
        <r>
          <rPr>
            <sz val="9"/>
            <color indexed="81"/>
            <rFont val="Tahoma"/>
            <family val="2"/>
          </rPr>
          <t xml:space="preserve">
If there is no EIA, enter 0</t>
        </r>
      </text>
    </comment>
    <comment ref="B71" authorId="2" shapeId="0" xr:uid="{31FBDE72-B96D-4AFC-A32E-71267581887C}">
      <text>
        <r>
          <rPr>
            <b/>
            <sz val="9"/>
            <color indexed="81"/>
            <rFont val="Tahoma"/>
            <family val="2"/>
          </rPr>
          <t>Note:</t>
        </r>
        <r>
          <rPr>
            <sz val="9"/>
            <color indexed="81"/>
            <rFont val="Tahoma"/>
            <family val="2"/>
          </rPr>
          <t xml:space="preserve">
Select control structure type:  Orifice or Weir</t>
        </r>
      </text>
    </comment>
    <comment ref="C92" authorId="1" shapeId="0" xr:uid="{2CFED518-D1A9-4B60-BDBC-A9A9E3DC834F}">
      <text>
        <r>
          <rPr>
            <b/>
            <sz val="9"/>
            <color indexed="81"/>
            <rFont val="Tahoma"/>
            <family val="2"/>
          </rPr>
          <t>Note:</t>
        </r>
        <r>
          <rPr>
            <sz val="9"/>
            <color indexed="81"/>
            <rFont val="Tahoma"/>
            <family val="2"/>
          </rPr>
          <t xml:space="preserve">
Include the elevation that represents the WQv</t>
        </r>
      </text>
    </comment>
    <comment ref="AD99" authorId="1" shapeId="0" xr:uid="{0CA60BB4-6411-42AA-84AF-A4D69206F8F8}">
      <text>
        <r>
          <rPr>
            <b/>
            <sz val="9"/>
            <color indexed="81"/>
            <rFont val="Tahoma"/>
            <family val="2"/>
          </rPr>
          <t>Note:</t>
        </r>
        <r>
          <rPr>
            <sz val="9"/>
            <color indexed="81"/>
            <rFont val="Tahoma"/>
            <family val="2"/>
          </rPr>
          <t xml:space="preserve">
Enter the elevation that correlates to the WQv</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<sst xmlns="http://schemas.openxmlformats.org/spreadsheetml/2006/main" count="1127" uniqueCount="512">
  <si>
    <t>Development Information</t>
  </si>
  <si>
    <t>Name:</t>
  </si>
  <si>
    <t>Proposed Impervious Area (PIA)</t>
  </si>
  <si>
    <t>Pre-Development</t>
  </si>
  <si>
    <t>Curve Number:</t>
  </si>
  <si>
    <t>(WQ)</t>
  </si>
  <si>
    <t>(2-yr)</t>
  </si>
  <si>
    <t>(5-yr)</t>
  </si>
  <si>
    <t>(10-yr)</t>
  </si>
  <si>
    <t>(25-yr)</t>
  </si>
  <si>
    <t>(100-yr)</t>
  </si>
  <si>
    <t>Post-Development</t>
  </si>
  <si>
    <t>Post Total</t>
  </si>
  <si>
    <t>Pre Total</t>
  </si>
  <si>
    <t>Outfall Location</t>
  </si>
  <si>
    <t>Elevation</t>
  </si>
  <si>
    <t>Area</t>
  </si>
  <si>
    <t>Professional Engineer Certification</t>
  </si>
  <si>
    <t>Date:</t>
  </si>
  <si>
    <t>Comments:</t>
  </si>
  <si>
    <t>Material</t>
  </si>
  <si>
    <t>Concrete</t>
  </si>
  <si>
    <t>Metal</t>
  </si>
  <si>
    <t>HDPP</t>
  </si>
  <si>
    <t>PVC</t>
  </si>
  <si>
    <t>HDPE</t>
  </si>
  <si>
    <t>Material:</t>
  </si>
  <si>
    <t>Other</t>
  </si>
  <si>
    <t>Select</t>
  </si>
  <si>
    <t>Shape:</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</si>
  <si>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</si>
  <si>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</si>
  <si>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</si>
  <si>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</si>
  <si>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</si>
  <si>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r>
      <t>ft</t>
    </r>
    <r>
      <rPr>
        <vertAlign val="superscript"/>
        <sz val="10"/>
        <color theme="1"/>
        <rFont val="Calibri"/>
        <family val="2"/>
      </rPr>
      <t>2</t>
    </r>
  </si>
  <si>
    <t>Width:</t>
  </si>
  <si>
    <t>Inv. EL</t>
  </si>
  <si>
    <t>in</t>
  </si>
  <si>
    <t>ft</t>
  </si>
  <si>
    <t>Length:</t>
  </si>
  <si>
    <t>Top EL.:</t>
  </si>
  <si>
    <t>Latitude:</t>
  </si>
  <si>
    <t>Longitude:</t>
  </si>
  <si>
    <t>Basin ID:</t>
  </si>
  <si>
    <t>Cumulative Vol.</t>
  </si>
  <si>
    <t>Width</t>
  </si>
  <si>
    <t>Time of Concentration (min):</t>
  </si>
  <si>
    <t>Additional Impervious Area (AIA) = PIA - EIA</t>
  </si>
  <si>
    <t>Form 3A - Detention Pond
As-Built Certification Form</t>
  </si>
  <si>
    <t>Design</t>
  </si>
  <si>
    <t>As-Built</t>
  </si>
  <si>
    <t>Water Quality Volume (WQv)</t>
  </si>
  <si>
    <t>WQv Required:</t>
  </si>
  <si>
    <t>WQv Provided:</t>
  </si>
  <si>
    <r>
      <t>Pre Q
(ft</t>
    </r>
    <r>
      <rPr>
        <vertAlign val="superscript"/>
        <sz val="8"/>
        <color theme="1"/>
        <rFont val="Calibri"/>
        <family val="2"/>
      </rPr>
      <t>3</t>
    </r>
    <r>
      <rPr>
        <sz val="10"/>
        <color theme="1"/>
        <rFont val="Calibri"/>
        <family val="2"/>
        <scheme val="minor"/>
      </rPr>
      <t>/s)</t>
    </r>
  </si>
  <si>
    <r>
      <t>Pond Out 
Q (ft</t>
    </r>
    <r>
      <rPr>
        <vertAlign val="superscript"/>
        <sz val="8"/>
        <color theme="1"/>
        <rFont val="Calibri"/>
        <family val="2"/>
      </rPr>
      <t>3</t>
    </r>
    <r>
      <rPr>
        <sz val="10"/>
        <color theme="1"/>
        <rFont val="Calibri"/>
        <family val="2"/>
        <scheme val="minor"/>
      </rPr>
      <t>/s)</t>
    </r>
  </si>
  <si>
    <r>
      <t>Total Post 
Q (ft</t>
    </r>
    <r>
      <rPr>
        <vertAlign val="superscript"/>
        <sz val="8"/>
        <color theme="1"/>
        <rFont val="Calibri"/>
        <family val="2"/>
      </rPr>
      <t>3</t>
    </r>
    <r>
      <rPr>
        <sz val="10"/>
        <color theme="1"/>
        <rFont val="Calibri"/>
        <family val="2"/>
        <scheme val="minor"/>
      </rPr>
      <t>/s)</t>
    </r>
  </si>
  <si>
    <t>Type</t>
  </si>
  <si>
    <t>Enter data as applicable for the proposed design.</t>
  </si>
  <si>
    <t>General Instructions</t>
  </si>
  <si>
    <t>Field Types</t>
  </si>
  <si>
    <t>Supplemental Instructions</t>
  </si>
  <si>
    <t>Use the drop down list to select a shape.</t>
  </si>
  <si>
    <t>Riprap</t>
  </si>
  <si>
    <t>Earthen</t>
  </si>
  <si>
    <t>Geotextile</t>
  </si>
  <si>
    <t>Total Post Q &gt; Pre Q</t>
  </si>
  <si>
    <t>Max Stage</t>
  </si>
  <si>
    <t>Total Post</t>
  </si>
  <si>
    <t>Post Total not completed</t>
  </si>
  <si>
    <t>Length</t>
  </si>
  <si>
    <t>Crest</t>
  </si>
  <si>
    <t>Top</t>
  </si>
  <si>
    <t>E. Spillway</t>
  </si>
  <si>
    <t>Design Response</t>
  </si>
  <si>
    <t>Emergency Spillway Section not completed</t>
  </si>
  <si>
    <t>Max Stage:</t>
  </si>
  <si>
    <t>Automated Review Checks</t>
  </si>
  <si>
    <t>Form Section</t>
  </si>
  <si>
    <t>Comments</t>
  </si>
  <si>
    <t>Pre-Development:</t>
  </si>
  <si>
    <t>Post-Development:</t>
  </si>
  <si>
    <t>Emergency Spillway:</t>
  </si>
  <si>
    <t>Pond Discharge Summary:</t>
  </si>
  <si>
    <t>Total Post Q:</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</si>
  <si>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</si>
  <si>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</si>
  <si>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</si>
  <si>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</si>
  <si>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</si>
  <si>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</si>
  <si>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Photographs</t>
  </si>
  <si>
    <t>Storm sewers showing pipes, inlets, junction boxes, outlets, outlet protection, and invert elevations</t>
  </si>
  <si>
    <t>Detail of emergency spillway showing elevations and dimensions</t>
  </si>
  <si>
    <t xml:space="preserve">General overview of the detention pond </t>
  </si>
  <si>
    <t>Outlet pipe discharge location and outlet protection</t>
  </si>
  <si>
    <t>Emergency spillway and discharge location</t>
  </si>
  <si>
    <t>Pipes that discharge into the detention pond</t>
  </si>
  <si>
    <t>Location where detention pond discharges into receiving stream, culvert, or channel</t>
  </si>
  <si>
    <t>Prior to approval of the Final Plat.</t>
  </si>
  <si>
    <t>Provide ALL required attachments:</t>
  </si>
  <si>
    <t>The issuance of a Certificate of Occupancy; and/or,</t>
  </si>
  <si>
    <t>e.</t>
  </si>
  <si>
    <t>c.</t>
  </si>
  <si>
    <t>d.</t>
  </si>
  <si>
    <t>f.</t>
  </si>
  <si>
    <t>•</t>
  </si>
  <si>
    <t>Use the as-built survey data to complete Form 3A – Detention Pond As-built Certification Form;</t>
  </si>
  <si>
    <t>Outfall Location:</t>
  </si>
  <si>
    <t>Latitude and/or Longitude not provided</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</si>
  <si>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</si>
  <si>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</si>
  <si>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</si>
  <si>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</si>
  <si>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</si>
  <si>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</si>
  <si>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</si>
  <si>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Yes</t>
  </si>
  <si>
    <t xml:space="preserve"> No</t>
  </si>
  <si>
    <r>
      <t>Pre Q
(ft</t>
    </r>
    <r>
      <rPr>
        <vertAlign val="superscript"/>
        <sz val="9"/>
        <color theme="1"/>
        <rFont val="Calibri"/>
        <family val="2"/>
      </rPr>
      <t>3</t>
    </r>
    <r>
      <rPr>
        <sz val="9"/>
        <color theme="1"/>
        <rFont val="Calibri"/>
        <family val="2"/>
        <scheme val="minor"/>
      </rPr>
      <t>/s)</t>
    </r>
  </si>
  <si>
    <r>
      <t>Pond In Q
(ft</t>
    </r>
    <r>
      <rPr>
        <vertAlign val="superscript"/>
        <sz val="9"/>
        <color theme="1"/>
        <rFont val="Calibri"/>
        <family val="2"/>
      </rPr>
      <t>3</t>
    </r>
    <r>
      <rPr>
        <sz val="9"/>
        <color theme="1"/>
        <rFont val="Calibri"/>
        <family val="2"/>
        <scheme val="minor"/>
      </rPr>
      <t>/s)</t>
    </r>
  </si>
  <si>
    <r>
      <t>Pond Out 
Q (ft</t>
    </r>
    <r>
      <rPr>
        <vertAlign val="superscript"/>
        <sz val="9"/>
        <color theme="1"/>
        <rFont val="Calibri"/>
        <family val="2"/>
      </rPr>
      <t>3</t>
    </r>
    <r>
      <rPr>
        <sz val="9"/>
        <color theme="1"/>
        <rFont val="Calibri"/>
        <family val="2"/>
        <scheme val="minor"/>
      </rPr>
      <t>/s)</t>
    </r>
  </si>
  <si>
    <r>
      <t>Total Post 
Q (ft</t>
    </r>
    <r>
      <rPr>
        <vertAlign val="superscript"/>
        <sz val="9"/>
        <color theme="1"/>
        <rFont val="Calibri"/>
        <family val="2"/>
      </rPr>
      <t>3</t>
    </r>
    <r>
      <rPr>
        <sz val="9"/>
        <color theme="1"/>
        <rFont val="Calibri"/>
        <family val="2"/>
        <scheme val="minor"/>
      </rPr>
      <t>/s)</t>
    </r>
  </si>
  <si>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</si>
  <si>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</si>
  <si>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</si>
  <si>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</si>
  <si>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</si>
  <si>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</si>
  <si>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</si>
  <si>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</si>
  <si>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</si>
  <si>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</si>
  <si>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</si>
  <si>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</si>
  <si>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</si>
  <si>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</si>
  <si>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</si>
  <si>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</si>
  <si>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</si>
  <si>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</si>
  <si>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</si>
  <si>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</si>
  <si>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</si>
  <si>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Pre Q</t>
  </si>
  <si>
    <t>Pond In Q</t>
  </si>
  <si>
    <t>Pre Q:</t>
  </si>
  <si>
    <t>Pond In Q:</t>
  </si>
  <si>
    <t>Montgomery</t>
  </si>
  <si>
    <t>Hoover</t>
  </si>
  <si>
    <t>Prattville</t>
  </si>
  <si>
    <t>Mobile</t>
  </si>
  <si>
    <t xml:space="preserve">Select City: </t>
  </si>
  <si>
    <t xml:space="preserve"> Photographs</t>
  </si>
  <si>
    <t xml:space="preserve">Date: </t>
  </si>
  <si>
    <t xml:space="preserve">BMP ID: </t>
  </si>
  <si>
    <t xml:space="preserve">Latitude: </t>
  </si>
  <si>
    <t xml:space="preserve">Longitude: </t>
  </si>
  <si>
    <t>Yes</t>
  </si>
  <si>
    <t xml:space="preserve">Company: </t>
  </si>
  <si>
    <t xml:space="preserve">Signature: </t>
  </si>
  <si>
    <t>Select either "Yes" or "No" by placing an "X" in the appropriate box.  Once an "X" is entered, the green highlight will be removed.</t>
  </si>
  <si>
    <t>The Supplemental Instructions provide additional guidance and design standards.</t>
  </si>
  <si>
    <t>Once the Design, As-built, or Inspection Forms are completed, there should be no green, yellow, or orange highlighted fields.</t>
  </si>
  <si>
    <t>Automated Review Checks:  Once information and data are entered into the form, the form will check the information entered and identify any potential issues or concerns.  Prior to printing the form, all automated comments shall be resolved.</t>
  </si>
  <si>
    <t>Round</t>
  </si>
  <si>
    <t>Rectangle</t>
  </si>
  <si>
    <t>Square</t>
  </si>
  <si>
    <t>Trapezoid</t>
  </si>
  <si>
    <t>Jefferson</t>
  </si>
  <si>
    <t>Velocity
(ft/s)</t>
  </si>
  <si>
    <t>Velocity:</t>
  </si>
  <si>
    <t>City</t>
  </si>
  <si>
    <t>County</t>
  </si>
  <si>
    <t>Type:</t>
  </si>
  <si>
    <t>1 July 2018</t>
  </si>
  <si>
    <t>1 October 2015</t>
  </si>
  <si>
    <t>1 October 2020</t>
  </si>
  <si>
    <t>1 February 2020</t>
  </si>
  <si>
    <t>Effective Date:</t>
  </si>
  <si>
    <t>By affixing my professional seal and signature on this form, I hereby certify that the detention pond:</t>
  </si>
  <si>
    <t>Provides the required water quality volume (WQv);</t>
  </si>
  <si>
    <t>Drainage areas shown in the hydrology and hydraulic (H&amp;H) calculations drain into the detention pond; and,</t>
  </si>
  <si>
    <t xml:space="preserve">Post-development runoff mimics pre-development hydrology to the maximum extent practicable (MEP). </t>
  </si>
  <si>
    <t>Entity Type:</t>
  </si>
  <si>
    <t>Maintenance Agreement:</t>
  </si>
  <si>
    <t xml:space="preserve"> Covenant</t>
  </si>
  <si>
    <t>By affixing my professional seal and signature on this form, I hereby certify that the detention pond has been constructed in accordance with the approved design.  I further certify that the drainage areas shown in the approved hydrology and hydraulic (H&amp;H) calculations do in fact drain into the detention pond and that the post-development runoff mimics pre-development hydrology to the maximum extent practicable (MEP).</t>
  </si>
  <si>
    <t>Perform a field survey of the constructed detention pond; and,</t>
  </si>
  <si>
    <t xml:space="preserve"> As-Built Survey Drawing(s)</t>
  </si>
  <si>
    <t>Velocity</t>
  </si>
  <si>
    <t>Home Owners Association (HOA) Information</t>
  </si>
  <si>
    <t>Printing the form may require some adjustments to the print settings for the printer being used.</t>
  </si>
  <si>
    <t>All applicable developments shall be responsible for ensuring that post-development hydrology mimics</t>
  </si>
  <si>
    <t>outlet pipe, WQ filter, etc.</t>
  </si>
  <si>
    <r>
      <t>Filtration system for the WQ</t>
    </r>
    <r>
      <rPr>
        <vertAlign val="subscript"/>
        <sz val="10"/>
        <color theme="1"/>
        <rFont val="Calibri"/>
        <family val="2"/>
        <scheme val="minor"/>
      </rPr>
      <t>v</t>
    </r>
    <r>
      <rPr>
        <sz val="10"/>
        <color theme="1"/>
        <rFont val="Calibri"/>
        <family val="2"/>
        <scheme val="minor"/>
      </rPr>
      <t xml:space="preserve"> Orifice shall allow the volume of stormwater associated with the WQ</t>
    </r>
    <r>
      <rPr>
        <vertAlign val="subscript"/>
        <sz val="10"/>
        <color theme="1"/>
        <rFont val="Calibri"/>
        <family val="2"/>
        <scheme val="minor"/>
      </rPr>
      <t>v</t>
    </r>
    <r>
      <rPr>
        <sz val="10"/>
        <color theme="1"/>
        <rFont val="Calibri"/>
        <family val="2"/>
        <scheme val="minor"/>
      </rPr>
      <t xml:space="preserve"> to</t>
    </r>
  </si>
  <si>
    <t>Current Logo</t>
  </si>
  <si>
    <t>If a field is highlighted yellow after a number is entered, the yellow highlight may indicate an error and/or concern.  Once the error and/or concern is resolved, the yellow highlight will be removed.  All yellow highlighted cells shall be resolved or an explanation provided prior to completing the form.</t>
  </si>
  <si>
    <t>Max Elev.
(ft)</t>
  </si>
  <si>
    <t>Freeboard  &lt;  1.0 ft</t>
  </si>
  <si>
    <t>Emergency Spillway Freeboard:</t>
  </si>
  <si>
    <t xml:space="preserve">City: </t>
  </si>
  <si>
    <t>This is a required field.  Once a number or text is entered, the green highlight will be removed.</t>
  </si>
  <si>
    <t xml:space="preserve">Total Area: </t>
  </si>
  <si>
    <t xml:space="preserve">Buildings / Structures: </t>
  </si>
  <si>
    <t xml:space="preserve">Driveways / Sidewalks: </t>
  </si>
  <si>
    <t xml:space="preserve">Roads: </t>
  </si>
  <si>
    <t xml:space="preserve">Parking: </t>
  </si>
  <si>
    <t xml:space="preserve">Other: </t>
  </si>
  <si>
    <t xml:space="preserve">Total PIA: </t>
  </si>
  <si>
    <t xml:space="preserve">Existing Impervious Area (EIA): </t>
  </si>
  <si>
    <t xml:space="preserve">AIA = </t>
  </si>
  <si>
    <t xml:space="preserve">Material: </t>
  </si>
  <si>
    <t xml:space="preserve">Diameter: </t>
  </si>
  <si>
    <t xml:space="preserve">Width: </t>
  </si>
  <si>
    <t xml:space="preserve">Bottom EL.: </t>
  </si>
  <si>
    <t xml:space="preserve">Trash Rack: </t>
  </si>
  <si>
    <t xml:space="preserve">Shape: </t>
  </si>
  <si>
    <t xml:space="preserve">Length: </t>
  </si>
  <si>
    <t xml:space="preserve">Top EL.: </t>
  </si>
  <si>
    <t xml:space="preserve">Select: </t>
  </si>
  <si>
    <t xml:space="preserve">Orifice: </t>
  </si>
  <si>
    <t xml:space="preserve">None: </t>
  </si>
  <si>
    <t xml:space="preserve">Crest EL.: </t>
  </si>
  <si>
    <t xml:space="preserve">Pond Top EL.: </t>
  </si>
  <si>
    <r>
      <t>WQ</t>
    </r>
    <r>
      <rPr>
        <vertAlign val="subscript"/>
        <sz val="15"/>
        <color theme="1"/>
        <rFont val="Calibri"/>
        <family val="2"/>
      </rPr>
      <t>v</t>
    </r>
    <r>
      <rPr>
        <sz val="10"/>
        <color theme="1"/>
        <rFont val="Calibri"/>
        <family val="2"/>
        <scheme val="minor"/>
      </rPr>
      <t xml:space="preserve"> Required: </t>
    </r>
  </si>
  <si>
    <r>
      <t>WQ</t>
    </r>
    <r>
      <rPr>
        <vertAlign val="subscript"/>
        <sz val="15"/>
        <color theme="1"/>
        <rFont val="Calibri"/>
        <family val="2"/>
      </rPr>
      <t>v</t>
    </r>
    <r>
      <rPr>
        <sz val="10"/>
        <color theme="1"/>
        <rFont val="Calibri"/>
        <family val="2"/>
        <scheme val="minor"/>
      </rPr>
      <t xml:space="preserve"> Provided: </t>
    </r>
  </si>
  <si>
    <t xml:space="preserve">Seal: </t>
  </si>
  <si>
    <t xml:space="preserve">Outlet Pipe: </t>
  </si>
  <si>
    <t xml:space="preserve">WQv Orifice: </t>
  </si>
  <si>
    <t>Comments?</t>
  </si>
  <si>
    <t>EL:</t>
  </si>
  <si>
    <t>Pond Top EL:</t>
  </si>
  <si>
    <t>Crest EL:</t>
  </si>
  <si>
    <t>Pre Total not completed</t>
  </si>
  <si>
    <t>V-notch</t>
  </si>
  <si>
    <t>Permit Type:</t>
  </si>
  <si>
    <t>Max Velocity:</t>
  </si>
  <si>
    <t>Max Velocity</t>
  </si>
  <si>
    <t>Lookup Table</t>
  </si>
  <si>
    <t>Engineering or Building No.</t>
  </si>
  <si>
    <t>Post &lt; 0.5</t>
  </si>
  <si>
    <t xml:space="preserve">Weir: </t>
  </si>
  <si>
    <t>Use the drop down list to select an orifice or weir.</t>
  </si>
  <si>
    <t>Complete Design Form with the required design information.  Once the Design Form is completed, most of the Design section of the As-built Form will be prepopulated.</t>
  </si>
  <si>
    <t>Date</t>
  </si>
  <si>
    <t>No. Taken</t>
  </si>
  <si>
    <t>Page 4 of 4</t>
  </si>
  <si>
    <t>Page 3 of 4</t>
  </si>
  <si>
    <t>Page 2 of 4</t>
  </si>
  <si>
    <t>Page 1 of 4</t>
  </si>
  <si>
    <t xml:space="preserve">Contact Name: </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</si>
  <si>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</si>
  <si>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Drainage basin maps shall show:</t>
  </si>
  <si>
    <t>Drainage basins included with the H&amp;H study</t>
  </si>
  <si>
    <t xml:space="preserve">Pathways used for calculating Time of Concentration (Tc) </t>
  </si>
  <si>
    <t>Adjacent properties and site features where stormwater will be discharged from the proposed development</t>
  </si>
  <si>
    <t>Provide a drainage basin map for proposed conditions</t>
  </si>
  <si>
    <t>Provide a drainage basin map for existing conditions</t>
  </si>
  <si>
    <t>g.</t>
  </si>
  <si>
    <t>h.</t>
  </si>
  <si>
    <t>ENG No.</t>
  </si>
  <si>
    <t>Inspe Report Due:</t>
  </si>
  <si>
    <t>30 Septbember</t>
  </si>
  <si>
    <t>1 September</t>
  </si>
  <si>
    <t>emergency spillway, and outlet protection</t>
  </si>
  <si>
    <t>Detail of the outlet control structure showing elevations and dimensions of multi-stage riser, orifices, weirs,</t>
  </si>
  <si>
    <t>Outlet control structure showing multi-stage riser, orifices, weirs, outlet pipe, and WQ filter</t>
  </si>
  <si>
    <t>Storm sewer pipes discharging into detention pond</t>
  </si>
  <si>
    <t>General overview</t>
  </si>
  <si>
    <t>Outfall to receiving stream / storm sewer</t>
  </si>
  <si>
    <t>If a detention pond encroaches on a floodplain, provide documentaiton showing that all floodplain</t>
  </si>
  <si>
    <t>A stormwater pathway (i.e. piped storm sewer, overland flow, etc.) within the development shall</t>
  </si>
  <si>
    <t>A detention pond shall provide for an emergency spillway designed to convey the discharge resulting from</t>
  </si>
  <si>
    <t xml:space="preserve">WQ Filter: </t>
  </si>
  <si>
    <t>Site features to include but not limited to roads, rights-of-way, property lines, driveways, buildings, parking</t>
  </si>
  <si>
    <t>areas, fences, retaining walls, dumpster pads, etc.</t>
  </si>
  <si>
    <t>Location of the detention pond, contours, contour labels, spot elevations, outlet control structure, outlet pipe,</t>
  </si>
  <si>
    <t>Arch</t>
  </si>
  <si>
    <t>Elliptical</t>
  </si>
  <si>
    <t>(50-yr)</t>
  </si>
  <si>
    <t>Storms:</t>
  </si>
  <si>
    <t>Insp Report Due:</t>
  </si>
  <si>
    <t>2, 5, 10, 25, 50, and 100</t>
  </si>
  <si>
    <t>Installation of a detention pond shall not adversely impact and/or cause flooding of</t>
  </si>
  <si>
    <t>No. Storms</t>
  </si>
  <si>
    <t xml:space="preserve"> ac</t>
  </si>
  <si>
    <t xml:space="preserve"> sq-ft</t>
  </si>
  <si>
    <t>%</t>
  </si>
  <si>
    <t>Slope</t>
  </si>
  <si>
    <t>Flooding</t>
  </si>
  <si>
    <t>Form 2A.1 - Detention Pond
Design Form</t>
  </si>
  <si>
    <r>
      <t>Peak Discharge (ft</t>
    </r>
    <r>
      <rPr>
        <vertAlign val="superscript"/>
        <sz val="8"/>
        <color theme="1"/>
        <rFont val="Calibri"/>
        <family val="2"/>
      </rPr>
      <t>3</t>
    </r>
    <r>
      <rPr>
        <sz val="10"/>
        <color theme="1"/>
        <rFont val="Calibri"/>
        <family val="2"/>
        <scheme val="minor"/>
      </rPr>
      <t>/s)</t>
    </r>
  </si>
  <si>
    <t xml:space="preserve">Hydrologic Soil Group: </t>
  </si>
  <si>
    <t xml:space="preserve"> A</t>
  </si>
  <si>
    <t xml:space="preserve"> B</t>
  </si>
  <si>
    <t xml:space="preserve"> C</t>
  </si>
  <si>
    <t xml:space="preserve"> D</t>
  </si>
  <si>
    <t>Form 2A.2 - Detention Pond Design Form Attachment is attached?</t>
  </si>
  <si>
    <t>Design Questions</t>
  </si>
  <si>
    <t>Will future development phases discharge into the detention pond?  Complete Form 2A.2.</t>
  </si>
  <si>
    <t>Known Flooding Req:</t>
  </si>
  <si>
    <t>No. Storms:</t>
  </si>
  <si>
    <t>Total</t>
  </si>
  <si>
    <t>Does the project drain to an area of known flooding?</t>
  </si>
  <si>
    <t xml:space="preserve">Does the project drain onto an adjacent property? </t>
  </si>
  <si>
    <t>Adj. Property</t>
  </si>
  <si>
    <t xml:space="preserve">Design Form Date: </t>
  </si>
  <si>
    <t>Property boundary</t>
  </si>
  <si>
    <t>Caption, date, and/or description on all photographs?</t>
  </si>
  <si>
    <t>31 December</t>
  </si>
  <si>
    <t>Outlet control structure diagram is provided for information only.</t>
  </si>
  <si>
    <t>Caption identifying the date, location, and description of the photograph</t>
  </si>
  <si>
    <t>Photographs:</t>
  </si>
  <si>
    <t>All required photographs are not provided</t>
  </si>
  <si>
    <t>Outlet control structure &amp; WQv filter</t>
  </si>
  <si>
    <t>T-shape</t>
  </si>
  <si>
    <t>Discharge Summary</t>
  </si>
  <si>
    <t>Stage-Area-Storage Summary</t>
  </si>
  <si>
    <t>Property</t>
  </si>
  <si>
    <t>Known Flooding Storm:</t>
  </si>
  <si>
    <t>Adj Property Req:</t>
  </si>
  <si>
    <t>Adj Property Storm:</t>
  </si>
  <si>
    <t>Storm</t>
  </si>
  <si>
    <t>Req?</t>
  </si>
  <si>
    <t>Q Lookup</t>
  </si>
  <si>
    <t>Pre Q Lookup Table</t>
  </si>
  <si>
    <t xml:space="preserve">Select Area Units: </t>
  </si>
  <si>
    <t xml:space="preserve">EIA = </t>
  </si>
  <si>
    <t>ac</t>
  </si>
  <si>
    <t xml:space="preserve">PIA = </t>
  </si>
  <si>
    <t>Units Check</t>
  </si>
  <si>
    <t>AIA =</t>
  </si>
  <si>
    <t xml:space="preserve">Drainage Area </t>
  </si>
  <si>
    <t>OCS</t>
  </si>
  <si>
    <t>ES</t>
  </si>
  <si>
    <t>Emergency Spillway (ES)</t>
  </si>
  <si>
    <t>Outlet Control Structure (OCS)</t>
  </si>
  <si>
    <t>a 100-year, 24-hour storm event.  A minimum, freeboard of 1-foot above the maximum stage anticipated</t>
  </si>
  <si>
    <t>be provided to convey the discharge resulting from a 100-year, 24-hour storm event in a manner that will not</t>
  </si>
  <si>
    <t>Lat Text</t>
  </si>
  <si>
    <t>Long Text</t>
  </si>
  <si>
    <t>Latitude and/or Longitude has been entered as text.  Change to a number.</t>
  </si>
  <si>
    <t xml:space="preserve">Parcel No.: </t>
  </si>
  <si>
    <t xml:space="preserve">network, existing drainage areas, proposed drainage areas, time of concentration, curve number, pre-development </t>
  </si>
  <si>
    <t xml:space="preserve">peak discharges, post-development peak discharges, outlet structure geometry, emergency spillway geometry, </t>
  </si>
  <si>
    <t>ES Velocity
(ft/s)</t>
  </si>
  <si>
    <t>OCS Velocity
(ft/s)</t>
  </si>
  <si>
    <t>Parcel No.:</t>
  </si>
  <si>
    <t>Parcel No. has not been provided</t>
  </si>
  <si>
    <t>Is there an adequate easement or access road to the detention pond for inspection and maintenance?</t>
  </si>
  <si>
    <t>Spillage agreement</t>
  </si>
  <si>
    <t>The as-built drawing shall bear the date, seal, and signature of the professional land surveyor.</t>
  </si>
  <si>
    <t>As-built drawing, at a minimum, shall include the following:</t>
  </si>
  <si>
    <t>development;</t>
  </si>
  <si>
    <t>Will not adversely impact and/or cause flooding of structures within, upstream, and/or downstream of the</t>
  </si>
  <si>
    <t>If a proposed development discharges onto an adjacent property, the proposed development shall:</t>
  </si>
  <si>
    <t>Agreement Type:</t>
  </si>
  <si>
    <t>Known Flooding Storm &lt;:</t>
  </si>
  <si>
    <t>Adj Property Storm&lt;:</t>
  </si>
  <si>
    <t>5, 10, 25, 50, and 100</t>
  </si>
  <si>
    <t>10, 25, 50, and 100</t>
  </si>
  <si>
    <t>25, 50, and 100</t>
  </si>
  <si>
    <t>50 and 100</t>
  </si>
  <si>
    <t>Known or Adj Storm</t>
  </si>
  <si>
    <t>Requirements</t>
  </si>
  <si>
    <t>Known or Adj Design Storm:</t>
  </si>
  <si>
    <t>Design Storm</t>
  </si>
  <si>
    <t>Known or Adj Design Storm&lt;:</t>
  </si>
  <si>
    <t>Question</t>
  </si>
  <si>
    <t>Will the detention pond discharge to a channel?</t>
  </si>
  <si>
    <t>Will the detention pond discharge to an area of sheet flow?</t>
  </si>
  <si>
    <t>Will a level spreader be used?</t>
  </si>
  <si>
    <t>Outlet Protection</t>
  </si>
  <si>
    <t xml:space="preserve">Depth: </t>
  </si>
  <si>
    <t xml:space="preserve">Type: </t>
  </si>
  <si>
    <t>Riprap apron</t>
  </si>
  <si>
    <t>Concrete flume with baffles</t>
  </si>
  <si>
    <t>Concrete box with chambers</t>
  </si>
  <si>
    <t>Concrete box with baffles</t>
  </si>
  <si>
    <t>Pre-manufactured product</t>
  </si>
  <si>
    <t xml:space="preserve">Geotextile: </t>
  </si>
  <si>
    <t>Max Stage for 2, 5, 10, 25 and/or 50-year storm  &gt; emergency spillway crest elevation</t>
  </si>
  <si>
    <t>Outlet Protection:</t>
  </si>
  <si>
    <t>Outlet protection section not completed</t>
  </si>
  <si>
    <t xml:space="preserve">Detention pond bottom slope: </t>
  </si>
  <si>
    <t>management requirements have been met</t>
  </si>
  <si>
    <t>A detention pond shall not be constructed within the floodway</t>
  </si>
  <si>
    <t>properties located within, upstream, and/or downstream of the development</t>
  </si>
  <si>
    <t>adversely impact and/or cause flooding of structures within the development</t>
  </si>
  <si>
    <t>drain slowly from the detention pond within a 48-hour period</t>
  </si>
  <si>
    <t>in the detention pond or above the crest elevation of the emergency spillway</t>
  </si>
  <si>
    <t>Rainfall depths were obtained from NOAA Atlas 14, Volume 9, Version 2</t>
  </si>
  <si>
    <t>Post-development discharges shall be less than pre-development discharges at all discharge locations</t>
  </si>
  <si>
    <t>Pond Bottom Slope:</t>
  </si>
  <si>
    <t xml:space="preserve">Fence: </t>
  </si>
  <si>
    <t xml:space="preserve">Access Road: </t>
  </si>
  <si>
    <t>Detention pond outfall &amp; outlet protection</t>
  </si>
  <si>
    <t>Emergency spillway and embankment</t>
  </si>
  <si>
    <t>Baldwin County</t>
  </si>
  <si>
    <t xml:space="preserve">Effective Date: </t>
  </si>
  <si>
    <t xml:space="preserve">IMPORTANT - READ BEFORE USE: </t>
  </si>
  <si>
    <t xml:space="preserve">Acceptance (required): </t>
  </si>
  <si>
    <t>I ACCEPT</t>
  </si>
  <si>
    <t>I DO NOT ACCEPT</t>
  </si>
  <si>
    <t>Acceptance Table</t>
  </si>
  <si>
    <t>Selection Required</t>
  </si>
  <si>
    <t xml:space="preserve">Administrator Code (Hidden): </t>
  </si>
  <si>
    <t xml:space="preserve">Current Status: </t>
  </si>
  <si>
    <t xml:space="preserve">Gate OK: </t>
  </si>
  <si>
    <t xml:space="preserve">Accepted Flag: </t>
  </si>
  <si>
    <t xml:space="preserve">Admin Unlock Code: </t>
  </si>
  <si>
    <t>Workbook Lock Configuration</t>
  </si>
  <si>
    <t>Version Date:</t>
  </si>
  <si>
    <t xml:space="preserve">Active Months: </t>
  </si>
  <si>
    <t xml:space="preserve">Lock Date: </t>
  </si>
  <si>
    <t xml:space="preserve">Expiration Date: </t>
  </si>
  <si>
    <t xml:space="preserve">Override LockD and Time: </t>
  </si>
  <si>
    <t xml:space="preserve">Computed Lock Date and Time: </t>
  </si>
  <si>
    <t>Slope:</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</si>
  <si>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</si>
  <si>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</si>
  <si>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</si>
  <si>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</si>
  <si>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</si>
  <si>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</si>
  <si>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</si>
  <si>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</si>
  <si>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</si>
  <si>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</si>
  <si>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</si>
  <si>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</si>
  <si>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</si>
  <si>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</si>
  <si>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</si>
  <si>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</si>
  <si>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</si>
  <si>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</si>
  <si>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</si>
  <si>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</si>
  <si>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</si>
  <si>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</si>
  <si>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</si>
  <si>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As-Built does not match Design, provide a reason in the Comments section</t>
  </si>
  <si>
    <t>-yr</t>
  </si>
  <si>
    <t>Provide the velocity at the end of any velocity dissipation device for the outlet control structure (OCS) and the</t>
  </si>
  <si>
    <t>emergency spillway (ES)</t>
  </si>
  <si>
    <t xml:space="preserve"> O&amp;M Plan</t>
  </si>
  <si>
    <t>Drainage Rights</t>
  </si>
  <si>
    <t>OCS = Outlet Control Structure</t>
  </si>
  <si>
    <t>ES = Emergency Spillway</t>
  </si>
  <si>
    <t>END USER LICENSE AGREEMENT (EULA)</t>
  </si>
  <si>
    <t>authorized, do not use the Tool.</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</si>
  <si>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</si>
  <si>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Limited License</t>
  </si>
  <si>
    <t>agreed in writing.</t>
  </si>
  <si>
    <t>notices, logos, or watermarks; (c) bypass or disable protections; or (d) redistribute the Tool to third parties (other than submitting filled</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</si>
  <si>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</si>
  <si>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</si>
  <si>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</si>
  <si>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</si>
  <si>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</si>
  <si>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</si>
  <si>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</si>
  <si>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</si>
  <si>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</si>
  <si>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</si>
  <si>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</si>
  <si>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</si>
  <si>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</si>
  <si>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</si>
  <si>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</si>
  <si>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</si>
  <si>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</si>
  <si>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</si>
  <si>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the permitted purpose.</t>
  </si>
  <si>
    <t>purpose, and non-infringement.)  To the  Maximum extent permitted by law, Licensor will not be liable for indirect, incidental,</t>
  </si>
  <si>
    <r>
      <t>Pond In 
Q (ft</t>
    </r>
    <r>
      <rPr>
        <vertAlign val="superscript"/>
        <sz val="8"/>
        <color theme="1"/>
        <rFont val="Calibri"/>
        <family val="2"/>
      </rPr>
      <t>3</t>
    </r>
    <r>
      <rPr>
        <sz val="10"/>
        <color theme="1"/>
        <rFont val="Calibri"/>
        <family val="2"/>
        <scheme val="minor"/>
      </rPr>
      <t>/s)</t>
    </r>
  </si>
  <si>
    <r>
      <t>WQ</t>
    </r>
    <r>
      <rPr>
        <vertAlign val="subscript"/>
        <sz val="15"/>
        <color theme="1"/>
        <rFont val="Calibri"/>
        <family val="2"/>
      </rPr>
      <t>v</t>
    </r>
    <r>
      <rPr>
        <sz val="10"/>
        <color theme="1"/>
        <rFont val="Calibri"/>
        <family val="2"/>
        <scheme val="minor"/>
      </rPr>
      <t xml:space="preserve"> Elevation: </t>
    </r>
  </si>
  <si>
    <t>Have low impact development (LID) / green infrasturcture (GI) Practices been implemented?</t>
  </si>
  <si>
    <t>24-hour storm event without allowing any discharge from the emergency spillway;</t>
  </si>
  <si>
    <t>The principal outlet control structure for a detention pond shall be sized to convey the 2, 5, 10, 25, and 50-year,</t>
  </si>
  <si>
    <t>Dia./Span/Deg</t>
  </si>
  <si>
    <t>Rise</t>
  </si>
  <si>
    <t>Form 2G - Level Spreader Design Form is attached?</t>
  </si>
  <si>
    <t>Release Agreement</t>
  </si>
  <si>
    <t>Spillage Agreement</t>
  </si>
  <si>
    <t>Lee County</t>
  </si>
  <si>
    <t xml:space="preserve"> Drainage basins DGN, DWG, Shapefile or KMZ in WGS84</t>
  </si>
  <si>
    <t xml:space="preserve">Attachments:  </t>
  </si>
  <si>
    <t xml:space="preserve"> Excel file with tabular hydrographs in</t>
  </si>
  <si>
    <t xml:space="preserve">  0.05-hour time interval</t>
  </si>
  <si>
    <t xml:space="preserve"> Excel file with tabular hydrographs in 0.05-hour time interval</t>
  </si>
  <si>
    <t xml:space="preserve">Low flow concrete channel: </t>
  </si>
  <si>
    <t xml:space="preserve">Outlet pipe discharges into a storm sewer pipe, concrete swale or riprap swale? </t>
  </si>
  <si>
    <t>Bottom slope</t>
  </si>
  <si>
    <r>
      <t>Additional Basin Information:</t>
    </r>
    <r>
      <rPr>
        <b/>
        <sz val="12"/>
        <color theme="1"/>
        <rFont val="Calibri"/>
        <family val="2"/>
        <scheme val="minor"/>
      </rPr>
      <t xml:space="preserve"> </t>
    </r>
    <r>
      <rPr>
        <sz val="10"/>
        <color theme="1"/>
        <rFont val="Calibri"/>
        <family val="2"/>
        <scheme val="minor"/>
      </rPr>
      <t xml:space="preserve"> </t>
    </r>
  </si>
  <si>
    <t xml:space="preserve">H&amp;H calculations shall include all the information required to validate information provided on this form (i.e. model </t>
  </si>
  <si>
    <t>pond stage-area storage summary, pond discharge summary, inflow and outflow hydrographs, and outlet  velocities)</t>
  </si>
  <si>
    <t>Form 2A.3 - Detention Pond Additional Basins?</t>
  </si>
  <si>
    <t xml:space="preserve">Additional Pre and/or Post basin information provided on </t>
  </si>
  <si>
    <t>Riprap Class</t>
  </si>
  <si>
    <t>Riprap?</t>
  </si>
  <si>
    <t>Class</t>
  </si>
  <si>
    <t>Depth</t>
  </si>
  <si>
    <t>Min Depth (ft)</t>
  </si>
  <si>
    <t>Outlet protection using Class 2 Riprap shall have a minimum depth of 1.50-feet.</t>
  </si>
  <si>
    <t>sheet flow, provide a level spreader to convert the point source discharge to sheet flow.</t>
  </si>
  <si>
    <t>bottom of the detention pond, the detention pond shall have a minimum slope of 1%.</t>
  </si>
  <si>
    <t>The calculation methodology shall utilize the Natural Resources Conservation Service (NRCS) Urban</t>
  </si>
  <si>
    <r>
      <t>Total Post Q is &lt; 0.50 ft</t>
    </r>
    <r>
      <rPr>
        <vertAlign val="superscript"/>
        <sz val="10.8"/>
        <color theme="1"/>
        <rFont val="Calibri"/>
        <family val="2"/>
      </rPr>
      <t>3</t>
    </r>
    <r>
      <rPr>
        <sz val="11"/>
        <color theme="1"/>
        <rFont val="Calibri"/>
        <family val="2"/>
        <scheme val="minor"/>
      </rPr>
      <t>/s of Pre Q</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</si>
</sst>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409]d\-mmm\-yy;@"/>
    <numFmt numFmtId="165" formatCode="0.000000"/>
    <numFmt numFmtId="166" formatCode="0."/>
    <numFmt numFmtId="167" formatCode="[$-409]d\ mmmm\ yyyy;@"/>
    <numFmt numFmtId="168" formatCode="[$-409]dd\ mmmm\ yyyy;@"/>
    <numFmt numFmtId="169" formatCode="[&lt;=9999999]###\-####;\(###\)\ ###\-####"/>
    <numFmt numFmtId="170" formatCode="00000"/>
    <numFmt numFmtId="171" formatCode="[$-409]dd\-mmm\-yy;@"/>
    <numFmt numFmtId="172" formatCode="[$-409]mmmm\ d\,\ yyyy;@"/>
    <numFmt numFmtId="173" formatCode="#,##0.0000"/>
    <numFmt numFmtId="174" formatCode="00\ 00\ 00\ 0\ 000\ 000.000"/>
    <numFmt numFmtId="175" formatCode="yyyy\-mm\-dd\ hh:mm"/>
    <numFmt numFmtId="176" formatCode="[$-409]dd\ mmmm\ yyyy\ h:mm\ AM/PM;@"/>
    <numFmt numFmtId="177" formatCode="0\)"/>
    <numFmt numFmtId="178" formatCode="0.0"/>
    <numFmt numFmtId="179" formatCode="0.000000_);\(0.000000\)"/>
  </numFmts>
  <fonts count="29"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10"/>
      <color theme="1"/>
      <name val="Calibri"/>
      <family val="2"/>
    </font>
    <font>
      <vertAlign val="superscript"/>
      <sz val="8"/>
      <color theme="1"/>
      <name val="Calibri"/>
      <family val="2"/>
    </font>
    <font>
      <b/>
      <sz val="12"/>
      <color theme="1"/>
      <name val="Calibri"/>
      <family val="2"/>
      <scheme val="minor"/>
    </font>
    <font>
      <vertAlign val="subscript"/>
      <sz val="15"/>
      <color theme="1"/>
      <name val="Calibri"/>
      <family val="2"/>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perscript"/>
      <sz val="9"/>
      <color theme="1"/>
      <name val="Calibri"/>
      <family val="2"/>
    </font>
    <font>
      <vertAlign val="subscript"/>
      <sz val="10"/>
      <color theme="1"/>
      <name val="Calibri"/>
      <family val="2"/>
      <scheme val="minor"/>
    </font>
    <font>
      <sz val="10"/>
      <color theme="1"/>
      <name val="Calibri"/>
      <family val="2"/>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u/>
      <sz val="10"/>
      <color theme="10"/>
      <name val="Calibri"/>
      <family val="2"/>
      <scheme val="minor"/>
    </font>
    <font>
      <b/>
      <sz val="11"/>
      <color theme="0"/>
      <name val="Calibri"/>
      <family val="2"/>
      <scheme val="minor"/>
    </font>
    <font>
      <b/>
      <sz val="12"/>
      <color theme="1"/>
      <name val="Calibri"/>
      <family val="2"/>
    </font>
    <font>
      <u/>
      <sz val="10"/>
      <color theme="1"/>
      <name val="Calibri"/>
      <family val="2"/>
      <scheme val="minor"/>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ck">
        <color auto="1"/>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thin">
        <color indexed="64"/>
      </right>
      <top style="thin">
        <color indexed="64"/>
      </top>
      <bottom style="thin">
        <color indexed="64"/>
      </bottom>
      <diagonal/>
    </border>
    <border>
      <left style="thin">
        <color auto="1"/>
      </left>
      <right/>
      <top style="thin">
        <color auto="1"/>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244">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indent="1"/>
    </xf>
    <xf numFmtId="0" fontId="3"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1" fontId="3" fillId="0" borderId="0" xfId="0" applyNumberFormat="1" applyFont="1" applyAlignment="1">
      <alignment vertical="center"/>
    </xf>
    <xf numFmtId="4" fontId="3" fillId="0" borderId="0" xfId="0" applyNumberFormat="1" applyFont="1" applyAlignment="1">
      <alignment vertical="center"/>
    </xf>
    <xf numFmtId="0" fontId="8" fillId="0" borderId="0" xfId="0" applyFont="1" applyAlignment="1">
      <alignment vertical="center"/>
    </xf>
    <xf numFmtId="0" fontId="3" fillId="0" borderId="0" xfId="0" applyFont="1" applyAlignment="1">
      <alignment horizontal="right"/>
    </xf>
    <xf numFmtId="0" fontId="2" fillId="0" borderId="0" xfId="0" applyFont="1" applyAlignment="1">
      <alignment horizontal="right" vertical="center" wrapText="1"/>
    </xf>
    <xf numFmtId="3" fontId="3" fillId="0" borderId="0" xfId="0" applyNumberFormat="1" applyFont="1" applyAlignment="1">
      <alignment horizontal="right" vertical="center"/>
    </xf>
    <xf numFmtId="2" fontId="3" fillId="0" borderId="0" xfId="0" applyNumberFormat="1" applyFont="1" applyAlignment="1">
      <alignment vertical="center"/>
    </xf>
    <xf numFmtId="2" fontId="3" fillId="0" borderId="0" xfId="0" applyNumberFormat="1" applyFont="1" applyAlignment="1">
      <alignment horizontal="right" vertical="center"/>
    </xf>
    <xf numFmtId="3" fontId="3" fillId="0" borderId="3" xfId="0" applyNumberFormat="1" applyFont="1" applyBorder="1" applyAlignment="1">
      <alignment horizontal="right" vertical="center"/>
    </xf>
    <xf numFmtId="165" fontId="3" fillId="0" borderId="0" xfId="0" applyNumberFormat="1" applyFont="1" applyAlignment="1">
      <alignment vertical="center"/>
    </xf>
    <xf numFmtId="0" fontId="3" fillId="0" borderId="0" xfId="0" applyFont="1" applyAlignment="1">
      <alignment horizontal="center" vertical="center" wrapText="1"/>
    </xf>
    <xf numFmtId="4" fontId="3" fillId="0" borderId="0" xfId="0" applyNumberFormat="1" applyFont="1" applyAlignment="1" applyProtection="1">
      <alignment vertical="center"/>
      <protection hidden="1"/>
    </xf>
    <xf numFmtId="0" fontId="3" fillId="0" borderId="0" xfId="0" applyFont="1" applyAlignment="1" applyProtection="1">
      <alignment vertical="center"/>
      <protection hidden="1"/>
    </xf>
    <xf numFmtId="164" fontId="3" fillId="0" borderId="0" xfId="0" applyNumberFormat="1" applyFont="1" applyAlignment="1" applyProtection="1">
      <alignment horizontal="center" vertical="center"/>
      <protection hidden="1"/>
    </xf>
    <xf numFmtId="0" fontId="3" fillId="0" borderId="0" xfId="0" applyFont="1"/>
    <xf numFmtId="0" fontId="2" fillId="0" borderId="0" xfId="0" applyFont="1" applyAlignment="1">
      <alignment vertical="center" wrapText="1"/>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3" fillId="4" borderId="0" xfId="0" applyFont="1" applyFill="1" applyAlignment="1">
      <alignment vertical="center"/>
    </xf>
    <xf numFmtId="0" fontId="3" fillId="4" borderId="8" xfId="0" applyFont="1" applyFill="1" applyBorder="1" applyAlignment="1">
      <alignment vertical="center"/>
    </xf>
    <xf numFmtId="0" fontId="3" fillId="4" borderId="0" xfId="0" applyFont="1" applyFill="1" applyAlignment="1">
      <alignment horizontal="righ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0" fontId="11" fillId="4" borderId="0" xfId="0" applyFont="1" applyFill="1" applyAlignment="1">
      <alignment horizontal="right" vertical="center"/>
    </xf>
    <xf numFmtId="0" fontId="11" fillId="4" borderId="0" xfId="0" applyFont="1" applyFill="1" applyAlignment="1">
      <alignment vertical="center"/>
    </xf>
    <xf numFmtId="0" fontId="0" fillId="0" borderId="0" xfId="0" applyAlignment="1">
      <alignment vertical="center"/>
    </xf>
    <xf numFmtId="166" fontId="0" fillId="0" borderId="0" xfId="0" applyNumberFormat="1" applyAlignment="1">
      <alignment horizontal="center" vertical="center"/>
    </xf>
    <xf numFmtId="0" fontId="0" fillId="0" borderId="0" xfId="0" applyAlignment="1">
      <alignment horizontal="left" vertical="center"/>
    </xf>
    <xf numFmtId="2" fontId="3" fillId="0" borderId="0" xfId="0" applyNumberFormat="1" applyFont="1" applyAlignment="1" applyProtection="1">
      <alignment horizontal="right" vertical="center"/>
      <protection hidden="1"/>
    </xf>
    <xf numFmtId="2" fontId="3" fillId="0" borderId="0" xfId="0" applyNumberFormat="1" applyFont="1" applyAlignment="1" applyProtection="1">
      <alignment vertical="center"/>
      <protection hidden="1"/>
    </xf>
    <xf numFmtId="0" fontId="3" fillId="0" borderId="0" xfId="0" applyFont="1" applyAlignment="1">
      <alignment horizontal="left" vertical="center"/>
    </xf>
    <xf numFmtId="0" fontId="3" fillId="6" borderId="0" xfId="0" applyFont="1" applyFill="1" applyAlignment="1">
      <alignment vertical="center"/>
    </xf>
    <xf numFmtId="0" fontId="2" fillId="6" borderId="0" xfId="0" applyFont="1" applyFill="1" applyAlignment="1">
      <alignment vertical="center" wrapText="1"/>
    </xf>
    <xf numFmtId="0" fontId="3" fillId="6" borderId="0" xfId="0" applyFont="1" applyFill="1" applyAlignment="1">
      <alignment horizontal="right" vertical="center"/>
    </xf>
    <xf numFmtId="0" fontId="3" fillId="6" borderId="0" xfId="0" applyFont="1" applyFill="1"/>
    <xf numFmtId="0" fontId="3" fillId="0" borderId="12" xfId="0" applyFont="1" applyBorder="1" applyAlignment="1" applyProtection="1">
      <alignment horizontal="center" vertical="center"/>
      <protection locked="0"/>
    </xf>
    <xf numFmtId="166" fontId="3" fillId="0" borderId="0" xfId="0" applyNumberFormat="1" applyFont="1" applyAlignment="1">
      <alignment horizontal="center" vertical="center"/>
    </xf>
    <xf numFmtId="0" fontId="3" fillId="0" borderId="12" xfId="0" applyFont="1" applyBorder="1" applyAlignment="1">
      <alignment horizontal="center" vertical="center"/>
    </xf>
    <xf numFmtId="0" fontId="10" fillId="0" borderId="0" xfId="1" applyBorder="1" applyAlignment="1" applyProtection="1">
      <alignment horizontal="left" vertical="center"/>
    </xf>
    <xf numFmtId="0" fontId="3" fillId="0" borderId="0" xfId="0" applyFont="1" applyAlignment="1">
      <alignment vertical="top" wrapText="1"/>
    </xf>
    <xf numFmtId="0" fontId="0" fillId="0" borderId="0" xfId="0" applyAlignment="1">
      <alignment horizontal="right" vertical="center"/>
    </xf>
    <xf numFmtId="0" fontId="16" fillId="0" borderId="0" xfId="0" applyFont="1" applyAlignment="1">
      <alignment horizontal="center" vertical="center"/>
    </xf>
    <xf numFmtId="0" fontId="3" fillId="0" borderId="3" xfId="0" applyFont="1" applyBorder="1" applyAlignment="1">
      <alignment vertical="center"/>
    </xf>
    <xf numFmtId="166" fontId="14" fillId="0" borderId="0" xfId="0" applyNumberFormat="1" applyFont="1" applyAlignment="1">
      <alignment horizontal="center" vertical="center"/>
    </xf>
    <xf numFmtId="0" fontId="14" fillId="0" borderId="0" xfId="0" applyFont="1" applyAlignment="1">
      <alignment vertical="center"/>
    </xf>
    <xf numFmtId="166" fontId="13" fillId="0" borderId="0" xfId="0" applyNumberFormat="1" applyFont="1" applyAlignment="1">
      <alignment vertical="center"/>
    </xf>
    <xf numFmtId="0" fontId="14" fillId="0" borderId="1" xfId="0" applyFont="1" applyBorder="1" applyAlignment="1">
      <alignment horizontal="center" vertical="center"/>
    </xf>
    <xf numFmtId="4" fontId="14" fillId="0" borderId="1" xfId="0" applyNumberFormat="1" applyFont="1" applyBorder="1" applyAlignment="1">
      <alignment vertical="center"/>
    </xf>
    <xf numFmtId="0" fontId="14" fillId="0" borderId="0" xfId="0" applyFont="1" applyAlignment="1">
      <alignment horizontal="left" vertical="center" wrapText="1"/>
    </xf>
    <xf numFmtId="0" fontId="14" fillId="0" borderId="0" xfId="0" applyFont="1" applyAlignment="1">
      <alignment vertical="center" wrapText="1"/>
    </xf>
    <xf numFmtId="0" fontId="15" fillId="2" borderId="1" xfId="0" applyFont="1" applyFill="1" applyBorder="1" applyAlignment="1">
      <alignment vertical="center"/>
    </xf>
    <xf numFmtId="0" fontId="14" fillId="5" borderId="1" xfId="0" applyFont="1" applyFill="1" applyBorder="1" applyAlignment="1">
      <alignment vertical="center"/>
    </xf>
    <xf numFmtId="0" fontId="8" fillId="0" borderId="0" xfId="0" applyFont="1" applyAlignment="1">
      <alignment horizontal="left" vertical="center"/>
    </xf>
    <xf numFmtId="0" fontId="3" fillId="0" borderId="1" xfId="0" applyFont="1" applyBorder="1" applyAlignment="1">
      <alignment vertical="center"/>
    </xf>
    <xf numFmtId="0" fontId="3" fillId="0" borderId="0" xfId="0" applyFont="1" applyAlignment="1">
      <alignment vertical="top"/>
    </xf>
    <xf numFmtId="0" fontId="16" fillId="0" borderId="0" xfId="0" applyFont="1" applyAlignment="1">
      <alignment horizontal="right" vertical="center" indent="1"/>
    </xf>
    <xf numFmtId="0" fontId="20" fillId="0" borderId="0" xfId="0" applyFont="1" applyAlignment="1">
      <alignment horizontal="center" vertical="center"/>
    </xf>
    <xf numFmtId="167" fontId="17" fillId="0" borderId="0" xfId="0" applyNumberFormat="1"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2" fontId="3" fillId="0" borderId="11" xfId="0" applyNumberFormat="1" applyFont="1" applyBorder="1" applyAlignment="1" applyProtection="1">
      <alignment vertical="center"/>
      <protection hidden="1"/>
    </xf>
    <xf numFmtId="0" fontId="3" fillId="6" borderId="0" xfId="0" applyFont="1" applyFill="1" applyAlignment="1">
      <alignment horizontal="center" vertical="center"/>
    </xf>
    <xf numFmtId="0" fontId="8" fillId="6" borderId="0" xfId="0" applyFont="1" applyFill="1" applyAlignment="1">
      <alignment horizontal="left" vertical="center"/>
    </xf>
    <xf numFmtId="0" fontId="1" fillId="0" borderId="11" xfId="0" applyFont="1" applyBorder="1" applyAlignment="1">
      <alignment vertical="center"/>
    </xf>
    <xf numFmtId="0" fontId="3" fillId="0" borderId="11" xfId="0" applyFont="1" applyBorder="1" applyAlignment="1">
      <alignment vertical="center"/>
    </xf>
    <xf numFmtId="0" fontId="0" fillId="0" borderId="0" xfId="0" applyAlignment="1">
      <alignment wrapText="1"/>
    </xf>
    <xf numFmtId="0" fontId="0" fillId="0" borderId="0" xfId="0" applyAlignment="1">
      <alignment horizontal="left" wrapText="1"/>
    </xf>
    <xf numFmtId="0" fontId="3" fillId="0" borderId="11" xfId="0" applyFont="1" applyBorder="1" applyAlignment="1">
      <alignment horizontal="center" vertical="center"/>
    </xf>
    <xf numFmtId="0" fontId="3" fillId="0" borderId="0" xfId="0" applyFont="1" applyAlignment="1">
      <alignment horizontal="left" wrapText="1"/>
    </xf>
    <xf numFmtId="0" fontId="3" fillId="6" borderId="0" xfId="0" applyFont="1" applyFill="1" applyAlignment="1">
      <alignment horizontal="left" vertical="center"/>
    </xf>
    <xf numFmtId="0" fontId="3" fillId="0" borderId="11" xfId="0" applyFont="1" applyBorder="1" applyAlignment="1">
      <alignment horizontal="right" vertical="center"/>
    </xf>
    <xf numFmtId="0" fontId="5" fillId="0" borderId="0" xfId="0" applyFont="1" applyAlignment="1">
      <alignment vertical="center"/>
    </xf>
    <xf numFmtId="0" fontId="8" fillId="6" borderId="0" xfId="0" applyFont="1" applyFill="1" applyAlignment="1">
      <alignment vertical="center"/>
    </xf>
    <xf numFmtId="3" fontId="3" fillId="0" borderId="0" xfId="0" applyNumberFormat="1" applyFont="1" applyAlignment="1">
      <alignment vertical="center"/>
    </xf>
    <xf numFmtId="166" fontId="8" fillId="0" borderId="0" xfId="0" applyNumberFormat="1" applyFont="1" applyAlignment="1">
      <alignment horizontal="center" vertical="center"/>
    </xf>
    <xf numFmtId="0" fontId="17" fillId="0" borderId="0" xfId="0" applyFont="1" applyAlignment="1">
      <alignment horizontal="center" vertical="center" wrapText="1"/>
    </xf>
    <xf numFmtId="0" fontId="3" fillId="6" borderId="12" xfId="0" applyFont="1" applyFill="1" applyBorder="1" applyAlignment="1">
      <alignment horizontal="center" vertical="center"/>
    </xf>
    <xf numFmtId="0" fontId="1" fillId="0" borderId="0" xfId="0" applyFont="1" applyAlignment="1">
      <alignment horizontal="left" vertical="center"/>
    </xf>
    <xf numFmtId="2" fontId="3" fillId="6" borderId="12" xfId="0" applyNumberFormat="1" applyFont="1" applyFill="1" applyBorder="1" applyAlignment="1">
      <alignment horizontal="center" vertical="center"/>
    </xf>
    <xf numFmtId="4" fontId="3" fillId="6" borderId="0" xfId="0" applyNumberFormat="1" applyFont="1" applyFill="1" applyAlignment="1">
      <alignment vertical="center"/>
    </xf>
    <xf numFmtId="3" fontId="3" fillId="6" borderId="12" xfId="0" applyNumberFormat="1" applyFont="1" applyFill="1" applyBorder="1" applyAlignment="1">
      <alignment horizontal="center" vertical="center"/>
    </xf>
    <xf numFmtId="1" fontId="3" fillId="6" borderId="12" xfId="0" applyNumberFormat="1" applyFont="1" applyFill="1" applyBorder="1" applyAlignment="1">
      <alignment horizontal="center" vertical="center"/>
    </xf>
    <xf numFmtId="0" fontId="5" fillId="4" borderId="0" xfId="0" applyFont="1" applyFill="1" applyAlignment="1">
      <alignment horizontal="right" vertical="center"/>
    </xf>
    <xf numFmtId="0" fontId="3" fillId="6" borderId="14" xfId="0" applyFont="1" applyFill="1" applyBorder="1" applyAlignment="1">
      <alignment horizontal="center" vertical="center"/>
    </xf>
    <xf numFmtId="0" fontId="3" fillId="0" borderId="3" xfId="0" applyFont="1" applyBorder="1" applyAlignment="1">
      <alignment horizontal="right" vertical="center"/>
    </xf>
    <xf numFmtId="1" fontId="3" fillId="6" borderId="0" xfId="0" applyNumberFormat="1" applyFont="1" applyFill="1" applyAlignment="1">
      <alignment horizontal="center" vertical="center"/>
    </xf>
    <xf numFmtId="2" fontId="3" fillId="6" borderId="0" xfId="0" applyNumberFormat="1" applyFont="1" applyFill="1" applyAlignment="1">
      <alignment horizontal="center" vertical="center"/>
    </xf>
    <xf numFmtId="0" fontId="14" fillId="0" borderId="0" xfId="0" applyFont="1" applyAlignment="1">
      <alignment horizontal="center"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2" fontId="0" fillId="0" borderId="0" xfId="0" applyNumberFormat="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vertical="center"/>
    </xf>
    <xf numFmtId="4" fontId="3" fillId="6" borderId="8" xfId="0" applyNumberFormat="1" applyFont="1" applyFill="1" applyBorder="1" applyAlignment="1">
      <alignment vertical="center"/>
    </xf>
    <xf numFmtId="0" fontId="3" fillId="6" borderId="9" xfId="0" applyFont="1" applyFill="1" applyBorder="1" applyAlignment="1">
      <alignment vertical="center"/>
    </xf>
    <xf numFmtId="4" fontId="3" fillId="6" borderId="10" xfId="0" applyNumberFormat="1" applyFont="1" applyFill="1" applyBorder="1" applyAlignment="1">
      <alignment vertical="center"/>
    </xf>
    <xf numFmtId="0" fontId="3" fillId="6" borderId="1" xfId="0" applyFont="1" applyFill="1" applyBorder="1" applyAlignment="1">
      <alignment vertical="center"/>
    </xf>
    <xf numFmtId="0" fontId="3" fillId="6" borderId="2" xfId="0" applyFont="1" applyFill="1" applyBorder="1" applyAlignment="1">
      <alignment vertical="center"/>
    </xf>
    <xf numFmtId="0" fontId="3" fillId="6" borderId="1" xfId="0" applyFont="1" applyFill="1" applyBorder="1" applyAlignment="1">
      <alignment horizontal="center" vertical="center"/>
    </xf>
    <xf numFmtId="0" fontId="5" fillId="3" borderId="3" xfId="0" applyFont="1" applyFill="1" applyBorder="1" applyAlignment="1">
      <alignment horizontal="right" vertical="center"/>
    </xf>
    <xf numFmtId="173" fontId="3" fillId="6" borderId="12" xfId="0" applyNumberFormat="1" applyFont="1" applyFill="1" applyBorder="1" applyAlignment="1">
      <alignment vertical="center"/>
    </xf>
    <xf numFmtId="1" fontId="3" fillId="0" borderId="3" xfId="0" applyNumberFormat="1" applyFont="1" applyBorder="1" applyAlignment="1">
      <alignment vertical="center"/>
    </xf>
    <xf numFmtId="0" fontId="17" fillId="0" borderId="0" xfId="0" applyFont="1" applyAlignment="1">
      <alignment vertical="center" wrapText="1"/>
    </xf>
    <xf numFmtId="0" fontId="1" fillId="6" borderId="0" xfId="0" applyFont="1" applyFill="1" applyAlignment="1">
      <alignment horizontal="center" vertical="center"/>
    </xf>
    <xf numFmtId="0" fontId="0" fillId="0" borderId="0" xfId="0" applyAlignment="1">
      <alignment horizontal="center" vertical="center"/>
    </xf>
    <xf numFmtId="0" fontId="24" fillId="0" borderId="0" xfId="0" applyFont="1" applyAlignment="1">
      <alignment vertical="center"/>
    </xf>
    <xf numFmtId="0" fontId="24" fillId="0" borderId="0" xfId="0" applyFont="1" applyAlignment="1">
      <alignment horizontal="center" vertical="center"/>
    </xf>
    <xf numFmtId="0" fontId="0" fillId="0" borderId="0" xfId="0" quotePrefix="1" applyAlignment="1">
      <alignment vertical="center"/>
    </xf>
    <xf numFmtId="168" fontId="0" fillId="0" borderId="0" xfId="0" quotePrefix="1" applyNumberFormat="1" applyAlignment="1">
      <alignment horizontal="center" vertical="center"/>
    </xf>
    <xf numFmtId="167" fontId="0" fillId="7" borderId="13" xfId="0" applyNumberFormat="1" applyFill="1" applyBorder="1" applyAlignment="1">
      <alignment horizontal="center" vertical="center"/>
    </xf>
    <xf numFmtId="0" fontId="0" fillId="7" borderId="13" xfId="0" applyFill="1" applyBorder="1" applyAlignment="1">
      <alignment horizontal="center" vertical="center"/>
    </xf>
    <xf numFmtId="167" fontId="0" fillId="0" borderId="0" xfId="0" applyNumberFormat="1" applyAlignment="1">
      <alignment horizontal="center" vertical="center"/>
    </xf>
    <xf numFmtId="167" fontId="0" fillId="0" borderId="0" xfId="0" quotePrefix="1" applyNumberFormat="1" applyAlignment="1">
      <alignment horizontal="center" vertical="center"/>
    </xf>
    <xf numFmtId="2" fontId="0" fillId="0" borderId="0" xfId="0" applyNumberFormat="1" applyAlignment="1">
      <alignment vertical="center"/>
    </xf>
    <xf numFmtId="168" fontId="0" fillId="0" borderId="0" xfId="0" applyNumberFormat="1" applyAlignment="1">
      <alignment horizontal="center" vertical="center"/>
    </xf>
    <xf numFmtId="1" fontId="0" fillId="0" borderId="0" xfId="0" applyNumberFormat="1" applyAlignment="1">
      <alignment horizontal="center" vertical="center"/>
    </xf>
    <xf numFmtId="1" fontId="3" fillId="6" borderId="14" xfId="0" applyNumberFormat="1" applyFont="1" applyFill="1" applyBorder="1" applyAlignment="1">
      <alignment horizontal="center" vertical="center"/>
    </xf>
    <xf numFmtId="0" fontId="24" fillId="0" borderId="0" xfId="0" applyFont="1" applyAlignment="1">
      <alignment horizontal="right" vertical="center"/>
    </xf>
    <xf numFmtId="0" fontId="0" fillId="0" borderId="0" xfId="0" applyAlignment="1">
      <alignment horizontal="right" vertical="center" indent="1"/>
    </xf>
    <xf numFmtId="0" fontId="0" fillId="0" borderId="0" xfId="0" applyAlignment="1">
      <alignment horizontal="right"/>
    </xf>
    <xf numFmtId="175" fontId="0" fillId="0" borderId="0" xfId="0" applyNumberFormat="1"/>
    <xf numFmtId="14" fontId="0" fillId="0" borderId="0" xfId="0" applyNumberFormat="1"/>
    <xf numFmtId="0" fontId="8" fillId="0" borderId="0" xfId="0" applyFont="1" applyAlignment="1">
      <alignment horizontal="right" vertical="center"/>
    </xf>
    <xf numFmtId="0" fontId="14" fillId="6" borderId="0" xfId="0" applyFont="1" applyFill="1" applyAlignment="1">
      <alignment vertical="center"/>
    </xf>
    <xf numFmtId="0" fontId="14" fillId="6" borderId="12" xfId="0" applyFont="1" applyFill="1" applyBorder="1" applyAlignment="1">
      <alignment horizontal="center" vertical="center"/>
    </xf>
    <xf numFmtId="166" fontId="14" fillId="6" borderId="0" xfId="0" applyNumberFormat="1" applyFont="1" applyFill="1" applyAlignment="1">
      <alignment horizontal="center" vertical="center"/>
    </xf>
    <xf numFmtId="0" fontId="26" fillId="8" borderId="16" xfId="0" applyFont="1" applyFill="1" applyBorder="1" applyAlignment="1">
      <alignment horizontal="center" vertical="center"/>
    </xf>
    <xf numFmtId="0" fontId="0" fillId="0" borderId="19" xfId="0" applyBorder="1" applyAlignment="1">
      <alignment horizontal="right" vertical="center"/>
    </xf>
    <xf numFmtId="176" fontId="0" fillId="0" borderId="20" xfId="0" applyNumberFormat="1" applyBorder="1" applyAlignment="1">
      <alignment horizontal="center"/>
    </xf>
    <xf numFmtId="0" fontId="0" fillId="0" borderId="21" xfId="0" applyBorder="1" applyAlignment="1">
      <alignment horizontal="right" vertical="center"/>
    </xf>
    <xf numFmtId="0" fontId="0" fillId="9" borderId="22" xfId="0" applyFill="1" applyBorder="1" applyAlignment="1">
      <alignment horizontal="center"/>
    </xf>
    <xf numFmtId="176" fontId="0" fillId="0" borderId="23" xfId="0" applyNumberFormat="1" applyBorder="1" applyAlignment="1">
      <alignment horizontal="center"/>
    </xf>
    <xf numFmtId="0" fontId="0" fillId="0" borderId="23" xfId="0" applyBorder="1" applyAlignment="1">
      <alignment horizontal="center"/>
    </xf>
    <xf numFmtId="0" fontId="0" fillId="0" borderId="24" xfId="0" applyBorder="1" applyAlignment="1">
      <alignment horizontal="right" vertical="center"/>
    </xf>
    <xf numFmtId="0" fontId="0" fillId="0" borderId="25" xfId="0" applyBorder="1" applyAlignment="1">
      <alignment horizontal="center"/>
    </xf>
    <xf numFmtId="176" fontId="0" fillId="9" borderId="13" xfId="0" applyNumberFormat="1" applyFill="1" applyBorder="1" applyAlignment="1">
      <alignment horizontal="center"/>
    </xf>
    <xf numFmtId="0" fontId="8" fillId="0" borderId="12" xfId="0" applyFont="1" applyBorder="1" applyAlignment="1" applyProtection="1">
      <alignment horizontal="center" vertical="center"/>
      <protection locked="0"/>
    </xf>
    <xf numFmtId="177" fontId="8" fillId="0" borderId="0" xfId="0" applyNumberFormat="1" applyFont="1" applyAlignment="1">
      <alignment horizontal="right" vertical="center"/>
    </xf>
    <xf numFmtId="177" fontId="8" fillId="0" borderId="0" xfId="0" applyNumberFormat="1" applyFont="1" applyAlignment="1">
      <alignment vertical="center"/>
    </xf>
    <xf numFmtId="0" fontId="8" fillId="6" borderId="0" xfId="0" applyFont="1" applyFill="1" applyAlignment="1">
      <alignment horizontal="center" vertical="center"/>
    </xf>
    <xf numFmtId="0" fontId="8" fillId="6" borderId="0" xfId="0" applyFont="1" applyFill="1" applyAlignment="1">
      <alignment horizontal="right" vertical="center"/>
    </xf>
    <xf numFmtId="0" fontId="3" fillId="0" borderId="0" xfId="0" quotePrefix="1" applyFont="1" applyAlignment="1">
      <alignment vertical="center"/>
    </xf>
    <xf numFmtId="0" fontId="3" fillId="0" borderId="1" xfId="0" applyFont="1" applyBorder="1" applyAlignment="1" applyProtection="1">
      <alignment vertical="center"/>
      <protection locked="0"/>
    </xf>
    <xf numFmtId="178" fontId="0" fillId="0" borderId="0" xfId="0" applyNumberFormat="1" applyAlignment="1">
      <alignment horizontal="center"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3" fillId="6" borderId="26" xfId="0" applyFont="1" applyFill="1" applyBorder="1" applyAlignment="1">
      <alignment horizontal="center" vertical="center"/>
    </xf>
    <xf numFmtId="0" fontId="3" fillId="6" borderId="27" xfId="0" applyFont="1" applyFill="1" applyBorder="1" applyAlignment="1">
      <alignment horizontal="center" vertical="center"/>
    </xf>
    <xf numFmtId="0" fontId="3" fillId="6" borderId="28" xfId="0" applyFont="1" applyFill="1" applyBorder="1" applyAlignment="1">
      <alignment horizontal="center" vertical="center"/>
    </xf>
    <xf numFmtId="0" fontId="28" fillId="0" borderId="0" xfId="0" applyFont="1" applyAlignment="1">
      <alignment vertical="center"/>
    </xf>
    <xf numFmtId="168" fontId="14" fillId="0" borderId="0" xfId="0" applyNumberFormat="1" applyFont="1" applyAlignment="1">
      <alignment vertical="center"/>
    </xf>
    <xf numFmtId="0" fontId="24" fillId="0" borderId="0" xfId="0" applyFont="1" applyAlignment="1">
      <alignment horizontal="left" vertical="center" wrapText="1"/>
    </xf>
    <xf numFmtId="168" fontId="14" fillId="0" borderId="0" xfId="0" applyNumberFormat="1" applyFont="1" applyAlignment="1">
      <alignment vertical="center"/>
    </xf>
    <xf numFmtId="0" fontId="26" fillId="8" borderId="17" xfId="0" applyFont="1" applyFill="1" applyBorder="1" applyAlignment="1">
      <alignment horizontal="center" vertical="center"/>
    </xf>
    <xf numFmtId="0" fontId="26" fillId="8" borderId="18" xfId="0" applyFont="1" applyFill="1" applyBorder="1" applyAlignment="1">
      <alignment horizontal="center" vertical="center"/>
    </xf>
    <xf numFmtId="0" fontId="14" fillId="0" borderId="0" xfId="0" applyFont="1" applyAlignment="1">
      <alignment horizontal="left" vertical="center" wrapText="1"/>
    </xf>
    <xf numFmtId="17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hidden="1"/>
    </xf>
    <xf numFmtId="4" fontId="3" fillId="0" borderId="2" xfId="0" applyNumberFormat="1" applyFont="1" applyBorder="1" applyAlignment="1" applyProtection="1">
      <alignment horizontal="right" vertical="center"/>
      <protection locked="0"/>
    </xf>
    <xf numFmtId="0" fontId="3" fillId="0" borderId="1" xfId="0" applyFont="1" applyBorder="1" applyAlignment="1" applyProtection="1">
      <alignment horizontal="left" vertical="center"/>
      <protection hidden="1"/>
    </xf>
    <xf numFmtId="164" fontId="3" fillId="0" borderId="1" xfId="0" applyNumberFormat="1" applyFont="1" applyBorder="1" applyAlignment="1" applyProtection="1">
      <alignment horizontal="center" vertical="center"/>
      <protection hidden="1"/>
    </xf>
    <xf numFmtId="4" fontId="3" fillId="0" borderId="1" xfId="0" applyNumberFormat="1" applyFont="1" applyBorder="1" applyAlignment="1" applyProtection="1">
      <alignment horizontal="righ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2" fontId="3" fillId="0" borderId="1" xfId="0" applyNumberFormat="1" applyFont="1" applyBorder="1" applyAlignment="1" applyProtection="1">
      <alignment horizontal="right" vertical="center"/>
      <protection locked="0"/>
    </xf>
    <xf numFmtId="3" fontId="3" fillId="0" borderId="2" xfId="0" applyNumberFormat="1" applyFont="1" applyBorder="1" applyAlignment="1" applyProtection="1">
      <alignment horizontal="right" vertical="center"/>
      <protection locked="0"/>
    </xf>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xf>
    <xf numFmtId="173" fontId="3" fillId="0" borderId="1" xfId="0" applyNumberFormat="1" applyFont="1" applyBorder="1" applyAlignment="1" applyProtection="1">
      <alignment horizontal="right" vertical="center"/>
      <protection hidden="1"/>
    </xf>
    <xf numFmtId="3" fontId="3"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2" fontId="3" fillId="0" borderId="2" xfId="0" applyNumberFormat="1" applyFont="1" applyBorder="1" applyAlignment="1" applyProtection="1">
      <alignment horizontal="right" vertical="center"/>
      <protection locked="0"/>
    </xf>
    <xf numFmtId="171" fontId="3" fillId="0" borderId="1" xfId="0" applyNumberFormat="1" applyFont="1" applyBorder="1" applyAlignment="1" applyProtection="1">
      <alignment horizontal="center" vertical="center"/>
      <protection locked="0"/>
    </xf>
    <xf numFmtId="16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169" fontId="3" fillId="0" borderId="2" xfId="0" applyNumberFormat="1"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25" fillId="0" borderId="1" xfId="1" applyFont="1" applyBorder="1" applyAlignment="1" applyProtection="1">
      <alignment horizontal="left" vertical="center"/>
      <protection locked="0"/>
    </xf>
    <xf numFmtId="0" fontId="3" fillId="6" borderId="15" xfId="0" applyFont="1" applyFill="1" applyBorder="1" applyAlignment="1">
      <alignment horizontal="center" vertical="center"/>
    </xf>
    <xf numFmtId="0" fontId="3" fillId="6" borderId="14" xfId="0" applyFont="1" applyFill="1" applyBorder="1" applyAlignment="1">
      <alignment horizontal="center" vertical="center"/>
    </xf>
    <xf numFmtId="2" fontId="3" fillId="0" borderId="0" xfId="0" applyNumberFormat="1" applyFont="1" applyAlignment="1">
      <alignment horizontal="right" vertical="center"/>
    </xf>
    <xf numFmtId="3" fontId="3" fillId="0" borderId="2" xfId="0" applyNumberFormat="1" applyFont="1" applyBorder="1" applyAlignment="1" applyProtection="1">
      <alignment horizontal="right" vertical="center"/>
      <protection hidden="1"/>
    </xf>
    <xf numFmtId="0" fontId="3" fillId="0" borderId="0" xfId="0" applyFont="1" applyAlignment="1" applyProtection="1">
      <alignment horizontal="right" vertical="center"/>
      <protection locked="0"/>
    </xf>
    <xf numFmtId="165" fontId="3" fillId="0" borderId="1" xfId="0" applyNumberFormat="1" applyFont="1" applyBorder="1" applyAlignment="1" applyProtection="1">
      <alignment horizontal="right" vertical="center"/>
      <protection locked="0"/>
    </xf>
    <xf numFmtId="179" fontId="3" fillId="0" borderId="1" xfId="0" applyNumberFormat="1" applyFont="1" applyBorder="1" applyAlignment="1" applyProtection="1">
      <alignment horizontal="right" vertical="center"/>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textRotation="90" wrapText="1"/>
    </xf>
    <xf numFmtId="0" fontId="13" fillId="0" borderId="0" xfId="0" applyFont="1" applyAlignment="1">
      <alignment horizontal="left" vertical="center"/>
    </xf>
    <xf numFmtId="4" fontId="3" fillId="0" borderId="1" xfId="0" applyNumberFormat="1" applyFont="1" applyBorder="1" applyAlignment="1" applyProtection="1">
      <alignment horizontal="right" vertical="center"/>
      <protection hidden="1"/>
    </xf>
    <xf numFmtId="4" fontId="3" fillId="0" borderId="4" xfId="0" applyNumberFormat="1" applyFont="1" applyBorder="1" applyAlignment="1" applyProtection="1">
      <alignment horizontal="right" vertical="center"/>
      <protection locked="0"/>
    </xf>
    <xf numFmtId="0" fontId="3" fillId="0" borderId="0" xfId="0" applyFont="1" applyAlignment="1">
      <alignment horizontal="right" vertical="center"/>
    </xf>
    <xf numFmtId="0" fontId="3" fillId="6" borderId="15" xfId="0" applyFont="1" applyFill="1" applyBorder="1" applyAlignment="1">
      <alignment horizontal="left" vertical="center"/>
    </xf>
    <xf numFmtId="0" fontId="3" fillId="6" borderId="14" xfId="0" applyFont="1" applyFill="1" applyBorder="1" applyAlignment="1">
      <alignment horizontal="left" vertical="center"/>
    </xf>
    <xf numFmtId="167" fontId="17" fillId="0" borderId="0" xfId="0" applyNumberFormat="1" applyFont="1" applyAlignment="1">
      <alignment horizontal="left" vertical="center"/>
    </xf>
    <xf numFmtId="174" fontId="3" fillId="0" borderId="1" xfId="0" applyNumberFormat="1" applyFont="1" applyBorder="1" applyAlignment="1">
      <alignment horizontal="center" vertical="center"/>
    </xf>
    <xf numFmtId="4" fontId="3" fillId="0" borderId="1" xfId="0" applyNumberFormat="1" applyFont="1" applyBorder="1" applyAlignment="1">
      <alignment horizontal="right" vertical="center"/>
    </xf>
    <xf numFmtId="2" fontId="3" fillId="0" borderId="2" xfId="0" applyNumberFormat="1" applyFont="1" applyBorder="1" applyAlignment="1" applyProtection="1">
      <alignment horizontal="right" vertical="center"/>
      <protection hidden="1"/>
    </xf>
    <xf numFmtId="2" fontId="3" fillId="0" borderId="1" xfId="0" applyNumberFormat="1" applyFont="1" applyBorder="1" applyAlignment="1">
      <alignment horizontal="right" vertical="center"/>
    </xf>
    <xf numFmtId="165" fontId="3" fillId="0" borderId="2" xfId="0" applyNumberFormat="1" applyFont="1" applyBorder="1" applyAlignment="1" applyProtection="1">
      <alignment horizontal="right" vertical="center"/>
      <protection locked="0"/>
    </xf>
    <xf numFmtId="3" fontId="3" fillId="0" borderId="2" xfId="0" applyNumberFormat="1" applyFont="1" applyBorder="1" applyAlignment="1">
      <alignment horizontal="right" vertical="center"/>
    </xf>
    <xf numFmtId="0" fontId="17" fillId="0" borderId="0" xfId="0" applyFont="1" applyAlignment="1">
      <alignment horizontal="center" vertical="center" wrapText="1"/>
    </xf>
    <xf numFmtId="0" fontId="8" fillId="4" borderId="0" xfId="0" applyFont="1" applyFill="1" applyAlignment="1">
      <alignment horizontal="left" vertical="center"/>
    </xf>
    <xf numFmtId="0" fontId="8" fillId="3" borderId="0" xfId="0" applyFont="1" applyFill="1" applyAlignment="1">
      <alignment horizontal="left" vertical="center"/>
    </xf>
    <xf numFmtId="172" fontId="3" fillId="0" borderId="1" xfId="0" applyNumberFormat="1" applyFont="1" applyBorder="1" applyAlignment="1" applyProtection="1">
      <alignment horizontal="center" vertical="center"/>
      <protection locked="0"/>
    </xf>
    <xf numFmtId="0" fontId="10" fillId="0" borderId="2" xfId="1" applyBorder="1" applyAlignment="1" applyProtection="1">
      <alignment horizontal="left" vertical="center"/>
      <protection locked="0"/>
    </xf>
    <xf numFmtId="4" fontId="3" fillId="0" borderId="2" xfId="0" applyNumberFormat="1" applyFont="1" applyBorder="1" applyAlignment="1" applyProtection="1">
      <alignment horizontal="right" vertical="center"/>
      <protection hidden="1"/>
    </xf>
    <xf numFmtId="4" fontId="3" fillId="0" borderId="2" xfId="0" applyNumberFormat="1" applyFont="1" applyBorder="1" applyAlignment="1">
      <alignment horizontal="right" vertical="center"/>
    </xf>
    <xf numFmtId="169" fontId="3" fillId="0" borderId="1" xfId="0" applyNumberFormat="1" applyFont="1" applyBorder="1" applyAlignment="1" applyProtection="1">
      <alignment horizontal="center" vertical="center"/>
      <protection locked="0"/>
    </xf>
    <xf numFmtId="164" fontId="3" fillId="3" borderId="2" xfId="0" applyNumberFormat="1" applyFont="1" applyFill="1" applyBorder="1" applyAlignment="1">
      <alignment horizontal="left" vertical="center"/>
    </xf>
    <xf numFmtId="0" fontId="3" fillId="0" borderId="0" xfId="0" applyFont="1" applyAlignment="1">
      <alignment horizontal="left" vertical="top" wrapText="1"/>
    </xf>
    <xf numFmtId="164" fontId="3" fillId="0" borderId="2" xfId="0" applyNumberFormat="1" applyFont="1" applyBorder="1" applyAlignment="1" applyProtection="1">
      <alignment horizontal="center" vertical="center"/>
      <protection locked="0"/>
    </xf>
    <xf numFmtId="2" fontId="3" fillId="0" borderId="1" xfId="0" applyNumberFormat="1" applyFont="1" applyBorder="1" applyAlignment="1" applyProtection="1">
      <alignment horizontal="right" vertical="center"/>
      <protection hidden="1"/>
    </xf>
    <xf numFmtId="0" fontId="3" fillId="0" borderId="1" xfId="0" applyFont="1" applyBorder="1" applyAlignment="1">
      <alignment horizontal="left" vertical="center"/>
    </xf>
    <xf numFmtId="3" fontId="3" fillId="0" borderId="1" xfId="0" applyNumberFormat="1" applyFont="1" applyBorder="1" applyAlignment="1">
      <alignment horizontal="right" vertical="center"/>
    </xf>
    <xf numFmtId="0" fontId="3" fillId="0" borderId="2" xfId="0" applyFont="1" applyBorder="1" applyAlignment="1" applyProtection="1">
      <alignment horizontal="left" vertical="center"/>
      <protection hidden="1"/>
    </xf>
    <xf numFmtId="3" fontId="3" fillId="0" borderId="1" xfId="0" applyNumberFormat="1" applyFont="1" applyBorder="1" applyAlignment="1" applyProtection="1">
      <alignment horizontal="right" vertical="center"/>
      <protection hidden="1"/>
    </xf>
    <xf numFmtId="165" fontId="3" fillId="0" borderId="1" xfId="0" applyNumberFormat="1" applyFont="1" applyBorder="1" applyAlignment="1" applyProtection="1">
      <alignment horizontal="right" vertical="center"/>
      <protection hidden="1"/>
    </xf>
    <xf numFmtId="165" fontId="3" fillId="0" borderId="2" xfId="0" applyNumberFormat="1" applyFont="1" applyBorder="1" applyAlignment="1" applyProtection="1">
      <alignment horizontal="right" vertical="center"/>
      <protection hidden="1"/>
    </xf>
    <xf numFmtId="0" fontId="3" fillId="0" borderId="1" xfId="0" applyFont="1" applyBorder="1" applyAlignment="1" applyProtection="1">
      <alignment horizontal="right" vertical="center"/>
      <protection hidden="1"/>
    </xf>
    <xf numFmtId="2" fontId="3" fillId="0" borderId="2" xfId="0" applyNumberFormat="1" applyFont="1" applyBorder="1" applyAlignment="1">
      <alignment horizontal="right" vertical="center"/>
    </xf>
    <xf numFmtId="170" fontId="3" fillId="0" borderId="1" xfId="0" applyNumberFormat="1" applyFont="1" applyBorder="1" applyAlignment="1" applyProtection="1">
      <alignment horizontal="center" vertical="center"/>
      <protection locked="0"/>
    </xf>
  </cellXfs>
  <cellStyles count="2">
    <cellStyle name="Hyperlink" xfId="1" builtinId="8"/>
    <cellStyle name="Normal" xfId="0" builtinId="0"/>
  </cellStyles>
  <dxfs count="310">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numFmt numFmtId="3" formatCode="#,##0"/>
    </dxf>
    <dxf>
      <numFmt numFmtId="173" formatCode="#,##0.000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5" tint="0.59996337778862885"/>
        </patternFill>
      </fill>
    </dxf>
    <dxf>
      <numFmt numFmtId="3" formatCode="#,##0"/>
    </dxf>
    <dxf>
      <fill>
        <patternFill>
          <bgColor theme="5" tint="0.59996337778862885"/>
        </patternFill>
      </fill>
    </dxf>
    <dxf>
      <numFmt numFmtId="173" formatCode="#,##0.0000"/>
    </dxf>
    <dxf>
      <fill>
        <patternFill>
          <bgColor theme="7" tint="0.59996337778862885"/>
        </patternFill>
      </fill>
    </dxf>
    <dxf>
      <border>
        <bottom style="thin">
          <color auto="1"/>
        </bottom>
        <vertical/>
        <horizontal/>
      </border>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numFmt numFmtId="3" formatCode="#,##0"/>
    </dxf>
    <dxf>
      <numFmt numFmtId="173" formatCode="#,##0.0000"/>
    </dxf>
    <dxf>
      <numFmt numFmtId="3" formatCode="#,##0"/>
    </dxf>
    <dxf>
      <numFmt numFmtId="173" formatCode="#,##0.0000"/>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numFmt numFmtId="3" formatCode="#,##0"/>
    </dxf>
    <dxf>
      <numFmt numFmtId="173" formatCode="#,##0.0000"/>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vertical="center" textRotation="0" wrapText="0" indent="0" justifyLastLine="0" shrinkToFit="0" readingOrder="0"/>
    </dxf>
    <dxf>
      <alignment horizontal="general"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3.jpg"/></Relationships>
</file>

<file path=xl/drawings/_rels/drawing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12.png"/><Relationship Id="rId1" Type="http://schemas.openxmlformats.org/officeDocument/2006/relationships/image" Target="../media/image1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322702</xdr:colOff>
      <xdr:row>45</xdr:row>
      <xdr:rowOff>44615</xdr:rowOff>
    </xdr:from>
    <xdr:to>
      <xdr:col>7</xdr:col>
      <xdr:colOff>1182492</xdr:colOff>
      <xdr:row>45</xdr:row>
      <xdr:rowOff>783484</xdr:rowOff>
    </xdr:to>
    <xdr:pic>
      <xdr:nvPicPr>
        <xdr:cNvPr id="7" name="Picture 6">
          <a:extLst>
            <a:ext uri="{FF2B5EF4-FFF2-40B4-BE49-F238E27FC236}">
              <a16:creationId xmlns:a16="http://schemas.microsoft.com/office/drawing/2014/main" id="{993E7F6A-B6E9-41E9-A542-7BEF39FA1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04652" y="12065165"/>
          <a:ext cx="859790" cy="738869"/>
        </a:xfrm>
        <a:prstGeom prst="rect">
          <a:avLst/>
        </a:prstGeom>
        <a:noFill/>
        <a:ln>
          <a:noFill/>
        </a:ln>
      </xdr:spPr>
    </xdr:pic>
    <xdr:clientData/>
  </xdr:twoCellAnchor>
  <xdr:twoCellAnchor editAs="oneCell">
    <xdr:from>
      <xdr:col>5</xdr:col>
      <xdr:colOff>14199</xdr:colOff>
      <xdr:row>44</xdr:row>
      <xdr:rowOff>16933</xdr:rowOff>
    </xdr:from>
    <xdr:to>
      <xdr:col>5</xdr:col>
      <xdr:colOff>1006035</xdr:colOff>
      <xdr:row>45</xdr:row>
      <xdr:rowOff>2116</xdr:rowOff>
    </xdr:to>
    <xdr:pic>
      <xdr:nvPicPr>
        <xdr:cNvPr id="10" name="Picture 9">
          <a:extLst>
            <a:ext uri="{FF2B5EF4-FFF2-40B4-BE49-F238E27FC236}">
              <a16:creationId xmlns:a16="http://schemas.microsoft.com/office/drawing/2014/main" id="{3D73E453-C06D-4DD4-83A3-B9E5258DAA2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831" b="6759"/>
        <a:stretch>
          <a:fillRect/>
        </a:stretch>
      </xdr:blipFill>
      <xdr:spPr bwMode="auto">
        <a:xfrm>
          <a:off x="6169466" y="11264900"/>
          <a:ext cx="991836" cy="804333"/>
        </a:xfrm>
        <a:prstGeom prst="rect">
          <a:avLst/>
        </a:prstGeom>
        <a:noFill/>
        <a:ln>
          <a:noFill/>
        </a:ln>
      </xdr:spPr>
    </xdr:pic>
    <xdr:clientData/>
  </xdr:twoCellAnchor>
  <xdr:twoCellAnchor editAs="oneCell">
    <xdr:from>
      <xdr:col>5</xdr:col>
      <xdr:colOff>20112</xdr:colOff>
      <xdr:row>40</xdr:row>
      <xdr:rowOff>24022</xdr:rowOff>
    </xdr:from>
    <xdr:to>
      <xdr:col>5</xdr:col>
      <xdr:colOff>819996</xdr:colOff>
      <xdr:row>41</xdr:row>
      <xdr:rowOff>265</xdr:rowOff>
    </xdr:to>
    <xdr:pic>
      <xdr:nvPicPr>
        <xdr:cNvPr id="11" name="Picture 10">
          <a:extLst>
            <a:ext uri="{FF2B5EF4-FFF2-40B4-BE49-F238E27FC236}">
              <a16:creationId xmlns:a16="http://schemas.microsoft.com/office/drawing/2014/main" id="{10E5F845-1F03-4F4D-B2BC-B05710ABA2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75379" y="7986922"/>
          <a:ext cx="788454" cy="791583"/>
        </a:xfrm>
        <a:prstGeom prst="rect">
          <a:avLst/>
        </a:prstGeom>
        <a:ln>
          <a:noFill/>
        </a:ln>
      </xdr:spPr>
    </xdr:pic>
    <xdr:clientData/>
  </xdr:twoCellAnchor>
  <xdr:twoCellAnchor editAs="oneCell">
    <xdr:from>
      <xdr:col>5</xdr:col>
      <xdr:colOff>16260</xdr:colOff>
      <xdr:row>43</xdr:row>
      <xdr:rowOff>10851</xdr:rowOff>
    </xdr:from>
    <xdr:to>
      <xdr:col>5</xdr:col>
      <xdr:colOff>932179</xdr:colOff>
      <xdr:row>44</xdr:row>
      <xdr:rowOff>3071</xdr:rowOff>
    </xdr:to>
    <xdr:pic>
      <xdr:nvPicPr>
        <xdr:cNvPr id="12" name="Picture 11">
          <a:extLst>
            <a:ext uri="{FF2B5EF4-FFF2-40B4-BE49-F238E27FC236}">
              <a16:creationId xmlns:a16="http://schemas.microsoft.com/office/drawing/2014/main" id="{8C985F67-4DC8-4915-81E3-E884CD504AF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171527" y="10437551"/>
          <a:ext cx="923539" cy="813487"/>
        </a:xfrm>
        <a:prstGeom prst="rect">
          <a:avLst/>
        </a:prstGeom>
        <a:noFill/>
        <a:ln>
          <a:noFill/>
        </a:ln>
      </xdr:spPr>
    </xdr:pic>
    <xdr:clientData/>
  </xdr:twoCellAnchor>
  <xdr:twoCellAnchor editAs="oneCell">
    <xdr:from>
      <xdr:col>5</xdr:col>
      <xdr:colOff>8976</xdr:colOff>
      <xdr:row>41</xdr:row>
      <xdr:rowOff>15134</xdr:rowOff>
    </xdr:from>
    <xdr:to>
      <xdr:col>5</xdr:col>
      <xdr:colOff>816835</xdr:colOff>
      <xdr:row>42</xdr:row>
      <xdr:rowOff>1270</xdr:rowOff>
    </xdr:to>
    <xdr:pic>
      <xdr:nvPicPr>
        <xdr:cNvPr id="13" name="Picture 12" descr="Logo&#10;&#10;Description automatically generated">
          <a:extLst>
            <a:ext uri="{FF2B5EF4-FFF2-40B4-BE49-F238E27FC236}">
              <a16:creationId xmlns:a16="http://schemas.microsoft.com/office/drawing/2014/main" id="{2AC825A1-53E2-45A8-8241-FC60494996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164243" y="8799301"/>
          <a:ext cx="807859" cy="79766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8</xdr:col>
          <xdr:colOff>250516</xdr:colOff>
          <xdr:row>39</xdr:row>
          <xdr:rowOff>546</xdr:rowOff>
        </xdr:from>
        <xdr:to>
          <xdr:col>9</xdr:col>
          <xdr:colOff>1425901</xdr:colOff>
          <xdr:row>40</xdr:row>
          <xdr:rowOff>546</xdr:rowOff>
        </xdr:to>
        <xdr:pic>
          <xdr:nvPicPr>
            <xdr:cNvPr id="15" name="Picture 14">
              <a:extLst>
                <a:ext uri="{FF2B5EF4-FFF2-40B4-BE49-F238E27FC236}">
                  <a16:creationId xmlns:a16="http://schemas.microsoft.com/office/drawing/2014/main" id="{2C890635-FD55-45B4-91BB-696BDB8A3020}"/>
                </a:ext>
              </a:extLst>
            </xdr:cNvPr>
            <xdr:cNvPicPr>
              <a:picLocks noChangeAspect="1"/>
              <a:extLst>
                <a:ext uri="{84589F7E-364E-4C9E-8A38-B11213B215E9}">
                  <a14:cameraTool cellRange="Logo" spid="_x0000_s40022"/>
                </a:ext>
              </a:extLst>
            </xdr:cNvPicPr>
          </xdr:nvPicPr>
          <xdr:blipFill rotWithShape="1">
            <a:blip xmlns:r="http://schemas.openxmlformats.org/officeDocument/2006/relationships" r:embed="rId6"/>
            <a:stretch>
              <a:fillRect/>
            </a:stretch>
          </xdr:blipFill>
          <xdr:spPr bwMode="auto">
            <a:xfrm>
              <a:off x="10004116" y="7106196"/>
              <a:ext cx="1428750" cy="819150"/>
            </a:xfrm>
            <a:prstGeom prst="rect">
              <a:avLst/>
            </a:prstGeom>
            <a:noFill/>
            <a:ln>
              <a:noFill/>
            </a:ln>
          </xdr:spPr>
        </xdr:pic>
        <xdr:clientData/>
      </xdr:twoCellAnchor>
    </mc:Choice>
    <mc:Fallback/>
  </mc:AlternateContent>
  <xdr:twoCellAnchor editAs="oneCell">
    <xdr:from>
      <xdr:col>5</xdr:col>
      <xdr:colOff>10587</xdr:colOff>
      <xdr:row>45</xdr:row>
      <xdr:rowOff>180978</xdr:rowOff>
    </xdr:from>
    <xdr:to>
      <xdr:col>6</xdr:col>
      <xdr:colOff>1448</xdr:colOff>
      <xdr:row>45</xdr:row>
      <xdr:rowOff>685800</xdr:rowOff>
    </xdr:to>
    <xdr:pic>
      <xdr:nvPicPr>
        <xdr:cNvPr id="2" name="Picture 1">
          <a:extLst>
            <a:ext uri="{FF2B5EF4-FFF2-40B4-BE49-F238E27FC236}">
              <a16:creationId xmlns:a16="http://schemas.microsoft.com/office/drawing/2014/main" id="{4395E017-A77F-4E1A-9D4E-4F0205ABE5A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6167547" y="12289158"/>
          <a:ext cx="1408181" cy="504822"/>
        </a:xfrm>
        <a:prstGeom prst="rect">
          <a:avLst/>
        </a:prstGeom>
      </xdr:spPr>
    </xdr:pic>
    <xdr:clientData/>
  </xdr:twoCellAnchor>
  <xdr:twoCellAnchor editAs="oneCell">
    <xdr:from>
      <xdr:col>5</xdr:col>
      <xdr:colOff>16940</xdr:colOff>
      <xdr:row>38</xdr:row>
      <xdr:rowOff>166159</xdr:rowOff>
    </xdr:from>
    <xdr:to>
      <xdr:col>5</xdr:col>
      <xdr:colOff>876299</xdr:colOff>
      <xdr:row>40</xdr:row>
      <xdr:rowOff>20392</xdr:rowOff>
    </xdr:to>
    <xdr:pic>
      <xdr:nvPicPr>
        <xdr:cNvPr id="6" name="Picture 5">
          <a:extLst>
            <a:ext uri="{FF2B5EF4-FFF2-40B4-BE49-F238E27FC236}">
              <a16:creationId xmlns:a16="http://schemas.microsoft.com/office/drawing/2014/main" id="{B47AD404-B9CA-6789-3D0A-53282B17D8DD}"/>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172207" y="7125759"/>
          <a:ext cx="859359" cy="85753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26670</xdr:colOff>
      <xdr:row>51</xdr:row>
      <xdr:rowOff>59055</xdr:rowOff>
    </xdr:from>
    <xdr:to>
      <xdr:col>35</xdr:col>
      <xdr:colOff>112775</xdr:colOff>
      <xdr:row>52</xdr:row>
      <xdr:rowOff>132324</xdr:rowOff>
    </xdr:to>
    <xdr:pic>
      <xdr:nvPicPr>
        <xdr:cNvPr id="9" name="Picture 8">
          <a:extLst>
            <a:ext uri="{FF2B5EF4-FFF2-40B4-BE49-F238E27FC236}">
              <a16:creationId xmlns:a16="http://schemas.microsoft.com/office/drawing/2014/main" id="{B0BE7FD3-1275-479F-80D1-3C983C232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9170" y="8815705"/>
          <a:ext cx="657605" cy="263769"/>
        </a:xfrm>
        <a:prstGeom prst="rect">
          <a:avLst/>
        </a:prstGeom>
      </xdr:spPr>
    </xdr:pic>
    <xdr:clientData/>
  </xdr:twoCellAnchor>
  <xdr:oneCellAnchor>
    <xdr:from>
      <xdr:col>31</xdr:col>
      <xdr:colOff>187325</xdr:colOff>
      <xdr:row>101</xdr:row>
      <xdr:rowOff>72390</xdr:rowOff>
    </xdr:from>
    <xdr:ext cx="706616" cy="257707"/>
    <xdr:pic>
      <xdr:nvPicPr>
        <xdr:cNvPr id="13" name="Picture 12">
          <a:extLst>
            <a:ext uri="{FF2B5EF4-FFF2-40B4-BE49-F238E27FC236}">
              <a16:creationId xmlns:a16="http://schemas.microsoft.com/office/drawing/2014/main" id="{41ED544F-41E3-4E8F-A6BA-B2DF7EF52D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29325" y="17172940"/>
          <a:ext cx="706616" cy="257707"/>
        </a:xfrm>
        <a:prstGeom prst="rect">
          <a:avLst/>
        </a:prstGeom>
      </xdr:spPr>
    </xdr:pic>
    <xdr:clientData/>
  </xdr:oneCellAnchor>
  <xdr:oneCellAnchor>
    <xdr:from>
      <xdr:col>31</xdr:col>
      <xdr:colOff>133350</xdr:colOff>
      <xdr:row>153</xdr:row>
      <xdr:rowOff>34290</xdr:rowOff>
    </xdr:from>
    <xdr:ext cx="706616" cy="257707"/>
    <xdr:pic>
      <xdr:nvPicPr>
        <xdr:cNvPr id="14" name="Picture 13">
          <a:extLst>
            <a:ext uri="{FF2B5EF4-FFF2-40B4-BE49-F238E27FC236}">
              <a16:creationId xmlns:a16="http://schemas.microsoft.com/office/drawing/2014/main" id="{FD5143E6-0D37-4109-A5FC-A2620C6373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75350" y="25529540"/>
          <a:ext cx="706616" cy="257707"/>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1</xdr:rowOff>
        </xdr:from>
        <xdr:to>
          <xdr:col>7</xdr:col>
          <xdr:colOff>38100</xdr:colOff>
          <xdr:row>3</xdr:row>
          <xdr:rowOff>180321</xdr:rowOff>
        </xdr:to>
        <xdr:pic>
          <xdr:nvPicPr>
            <xdr:cNvPr id="2" name="Picture 1">
              <a:extLst>
                <a:ext uri="{FF2B5EF4-FFF2-40B4-BE49-F238E27FC236}">
                  <a16:creationId xmlns:a16="http://schemas.microsoft.com/office/drawing/2014/main" id="{7186B492-6E70-4EE0-ADFC-D95A1F4396F1}"/>
                </a:ext>
              </a:extLst>
            </xdr:cNvPr>
            <xdr:cNvPicPr>
              <a:picLocks noChangeAspect="1"/>
              <a:extLst>
                <a:ext uri="{84589F7E-364E-4C9E-8A38-B11213B215E9}">
                  <a14:cameraTool cellRange="Logo" spid="_x0000_s45087"/>
                </a:ext>
              </a:extLst>
            </xdr:cNvPicPr>
          </xdr:nvPicPr>
          <xdr:blipFill rotWithShape="1">
            <a:blip xmlns:r="http://schemas.openxmlformats.org/officeDocument/2006/relationships" r:embed="rId3"/>
            <a:stretch>
              <a:fillRect/>
            </a:stretch>
          </xdr:blipFill>
          <xdr:spPr bwMode="auto">
            <a:xfrm>
              <a:off x="0" y="1"/>
              <a:ext cx="1308100" cy="751820"/>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111941</xdr:colOff>
          <xdr:row>0</xdr:row>
          <xdr:rowOff>1</xdr:rowOff>
        </xdr:from>
        <xdr:to>
          <xdr:col>53</xdr:col>
          <xdr:colOff>16592</xdr:colOff>
          <xdr:row>4</xdr:row>
          <xdr:rowOff>1</xdr:rowOff>
        </xdr:to>
        <xdr:pic>
          <xdr:nvPicPr>
            <xdr:cNvPr id="4" name="Picture 3">
              <a:extLst>
                <a:ext uri="{FF2B5EF4-FFF2-40B4-BE49-F238E27FC236}">
                  <a16:creationId xmlns:a16="http://schemas.microsoft.com/office/drawing/2014/main" id="{C2534FD7-DB09-4ADD-885B-A20826857FEF}"/>
                </a:ext>
              </a:extLst>
            </xdr:cNvPr>
            <xdr:cNvPicPr>
              <a:picLocks noChangeAspect="1"/>
              <a:extLst>
                <a:ext uri="{84589F7E-364E-4C9E-8A38-B11213B215E9}">
                  <a14:cameraTool cellRange="Logo" spid="_x0000_s45088"/>
                </a:ext>
              </a:extLst>
            </xdr:cNvPicPr>
          </xdr:nvPicPr>
          <xdr:blipFill rotWithShape="1">
            <a:blip xmlns:r="http://schemas.openxmlformats.org/officeDocument/2006/relationships" r:embed="rId3"/>
            <a:stretch>
              <a:fillRect/>
            </a:stretch>
          </xdr:blipFill>
          <xdr:spPr bwMode="auto">
            <a:xfrm>
              <a:off x="7096941" y="1"/>
              <a:ext cx="1315621" cy="762000"/>
            </a:xfrm>
            <a:prstGeom prst="rect">
              <a:avLst/>
            </a:prstGeom>
            <a:noFill/>
            <a:ln>
              <a:noFill/>
            </a:ln>
          </xdr:spPr>
        </xdr:pic>
        <xdr:clientData/>
      </xdr:twoCellAnchor>
    </mc:Choice>
    <mc:Fallback/>
  </mc:AlternateContent>
  <xdr:oneCellAnchor>
    <xdr:from>
      <xdr:col>32</xdr:col>
      <xdr:colOff>37465</xdr:colOff>
      <xdr:row>196</xdr:row>
      <xdr:rowOff>78740</xdr:rowOff>
    </xdr:from>
    <xdr:ext cx="707488" cy="259080"/>
    <xdr:pic>
      <xdr:nvPicPr>
        <xdr:cNvPr id="5" name="Picture 4">
          <a:extLst>
            <a:ext uri="{FF2B5EF4-FFF2-40B4-BE49-F238E27FC236}">
              <a16:creationId xmlns:a16="http://schemas.microsoft.com/office/drawing/2014/main" id="{21E0A726-982C-4E89-AEC0-2635B52A9C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69965" y="33968690"/>
          <a:ext cx="707488" cy="259080"/>
        </a:xfrm>
        <a:prstGeom prst="rect">
          <a:avLst/>
        </a:prstGeom>
      </xdr:spPr>
    </xdr:pic>
    <xdr:clientData/>
  </xdr:oneCellAnchor>
  <xdr:twoCellAnchor editAs="oneCell">
    <xdr:from>
      <xdr:col>48</xdr:col>
      <xdr:colOff>5080</xdr:colOff>
      <xdr:row>60</xdr:row>
      <xdr:rowOff>14605</xdr:rowOff>
    </xdr:from>
    <xdr:to>
      <xdr:col>76</xdr:col>
      <xdr:colOff>57150</xdr:colOff>
      <xdr:row>106</xdr:row>
      <xdr:rowOff>363220</xdr:rowOff>
    </xdr:to>
    <xdr:pic>
      <xdr:nvPicPr>
        <xdr:cNvPr id="7" name="Picture 6">
          <a:extLst>
            <a:ext uri="{FF2B5EF4-FFF2-40B4-BE49-F238E27FC236}">
              <a16:creationId xmlns:a16="http://schemas.microsoft.com/office/drawing/2014/main" id="{C7BE75EB-C517-725F-27A1-E90BFC9E1E4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232" t="908" r="5520" b="4059"/>
        <a:stretch/>
      </xdr:blipFill>
      <xdr:spPr>
        <a:xfrm>
          <a:off x="14146530" y="10352405"/>
          <a:ext cx="5378450" cy="8086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32</xdr:col>
      <xdr:colOff>132080</xdr:colOff>
      <xdr:row>52</xdr:row>
      <xdr:rowOff>60325</xdr:rowOff>
    </xdr:from>
    <xdr:to>
      <xdr:col>36</xdr:col>
      <xdr:colOff>132922</xdr:colOff>
      <xdr:row>53</xdr:row>
      <xdr:rowOff>131689</xdr:rowOff>
    </xdr:to>
    <xdr:pic>
      <xdr:nvPicPr>
        <xdr:cNvPr id="6" name="Picture 5">
          <a:extLst>
            <a:ext uri="{FF2B5EF4-FFF2-40B4-BE49-F238E27FC236}">
              <a16:creationId xmlns:a16="http://schemas.microsoft.com/office/drawing/2014/main" id="{E85FDF18-2D4E-4BCE-9D4D-283B72410E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45530" y="8842375"/>
          <a:ext cx="710772" cy="261864"/>
        </a:xfrm>
        <a:prstGeom prst="rect">
          <a:avLst/>
        </a:prstGeom>
      </xdr:spPr>
    </xdr:pic>
    <xdr:clientData/>
  </xdr:twoCellAnchor>
  <xdr:oneCellAnchor>
    <xdr:from>
      <xdr:col>33</xdr:col>
      <xdr:colOff>53340</xdr:colOff>
      <xdr:row>98</xdr:row>
      <xdr:rowOff>54610</xdr:rowOff>
    </xdr:from>
    <xdr:ext cx="707488" cy="259080"/>
    <xdr:pic>
      <xdr:nvPicPr>
        <xdr:cNvPr id="7" name="Picture 6">
          <a:extLst>
            <a:ext uri="{FF2B5EF4-FFF2-40B4-BE49-F238E27FC236}">
              <a16:creationId xmlns:a16="http://schemas.microsoft.com/office/drawing/2014/main" id="{DAA5B764-0289-405B-B4B4-44E11C22C4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3790" y="17377410"/>
          <a:ext cx="707488" cy="259080"/>
        </a:xfrm>
        <a:prstGeom prst="rect">
          <a:avLst/>
        </a:prstGeom>
      </xdr:spPr>
    </xdr:pic>
    <xdr:clientData/>
  </xdr:oneCellAnchor>
  <xdr:oneCellAnchor>
    <xdr:from>
      <xdr:col>33</xdr:col>
      <xdr:colOff>72390</xdr:colOff>
      <xdr:row>149</xdr:row>
      <xdr:rowOff>83185</xdr:rowOff>
    </xdr:from>
    <xdr:ext cx="707488" cy="259080"/>
    <xdr:pic>
      <xdr:nvPicPr>
        <xdr:cNvPr id="8" name="Picture 7">
          <a:extLst>
            <a:ext uri="{FF2B5EF4-FFF2-40B4-BE49-F238E27FC236}">
              <a16:creationId xmlns:a16="http://schemas.microsoft.com/office/drawing/2014/main" id="{3808CA13-CB24-4776-AF37-59C2D6A983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12840" y="25921335"/>
          <a:ext cx="70748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47</xdr:col>
          <xdr:colOff>21770</xdr:colOff>
          <xdr:row>0</xdr:row>
          <xdr:rowOff>0</xdr:rowOff>
        </xdr:from>
        <xdr:to>
          <xdr:col>53</xdr:col>
          <xdr:colOff>21589</xdr:colOff>
          <xdr:row>4</xdr:row>
          <xdr:rowOff>19143</xdr:rowOff>
        </xdr:to>
        <xdr:pic>
          <xdr:nvPicPr>
            <xdr:cNvPr id="2" name="Picture 1">
              <a:extLst>
                <a:ext uri="{FF2B5EF4-FFF2-40B4-BE49-F238E27FC236}">
                  <a16:creationId xmlns:a16="http://schemas.microsoft.com/office/drawing/2014/main" id="{43250CB7-4703-415A-863F-82FC5F5634D0}"/>
                </a:ext>
              </a:extLst>
            </xdr:cNvPr>
            <xdr:cNvPicPr>
              <a:picLocks noChangeAspect="1"/>
              <a:extLst>
                <a:ext uri="{84589F7E-364E-4C9E-8A38-B11213B215E9}">
                  <a14:cameraTool cellRange="Logo" spid="_x0000_s37825"/>
                </a:ext>
              </a:extLst>
            </xdr:cNvPicPr>
          </xdr:nvPicPr>
          <xdr:blipFill rotWithShape="1">
            <a:blip xmlns:r="http://schemas.openxmlformats.org/officeDocument/2006/relationships" r:embed="rId3"/>
            <a:stretch>
              <a:fillRect/>
            </a:stretch>
          </xdr:blipFill>
          <xdr:spPr bwMode="auto">
            <a:xfrm>
              <a:off x="7375070" y="0"/>
              <a:ext cx="1356179" cy="771618"/>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18416</xdr:colOff>
          <xdr:row>4</xdr:row>
          <xdr:rowOff>16588</xdr:rowOff>
        </xdr:to>
        <xdr:pic>
          <xdr:nvPicPr>
            <xdr:cNvPr id="3" name="Picture 2">
              <a:extLst>
                <a:ext uri="{FF2B5EF4-FFF2-40B4-BE49-F238E27FC236}">
                  <a16:creationId xmlns:a16="http://schemas.microsoft.com/office/drawing/2014/main" id="{CD3EC917-351B-4FF6-B505-E2498D002C0B}"/>
                </a:ext>
              </a:extLst>
            </xdr:cNvPr>
            <xdr:cNvPicPr>
              <a:picLocks noChangeAspect="1"/>
              <a:extLst>
                <a:ext uri="{84589F7E-364E-4C9E-8A38-B11213B215E9}">
                  <a14:cameraTool cellRange="Logo" spid="_x0000_s37826"/>
                </a:ext>
              </a:extLst>
            </xdr:cNvPicPr>
          </xdr:nvPicPr>
          <xdr:blipFill rotWithShape="1">
            <a:blip xmlns:r="http://schemas.openxmlformats.org/officeDocument/2006/relationships" r:embed="rId3"/>
            <a:stretch>
              <a:fillRect/>
            </a:stretch>
          </xdr:blipFill>
          <xdr:spPr bwMode="auto">
            <a:xfrm>
              <a:off x="1" y="0"/>
              <a:ext cx="1339850" cy="767158"/>
            </a:xfrm>
            <a:prstGeom prst="rect">
              <a:avLst/>
            </a:prstGeom>
            <a:noFill/>
            <a:ln>
              <a:noFill/>
            </a:ln>
          </xdr:spPr>
        </xdr:pic>
        <xdr:clientData/>
      </xdr:twoCellAnchor>
    </mc:Choice>
    <mc:Fallback/>
  </mc:AlternateContent>
  <xdr:oneCellAnchor>
    <xdr:from>
      <xdr:col>33</xdr:col>
      <xdr:colOff>82550</xdr:colOff>
      <xdr:row>194</xdr:row>
      <xdr:rowOff>102235</xdr:rowOff>
    </xdr:from>
    <xdr:ext cx="707488" cy="259080"/>
    <xdr:pic>
      <xdr:nvPicPr>
        <xdr:cNvPr id="5" name="Picture 4">
          <a:extLst>
            <a:ext uri="{FF2B5EF4-FFF2-40B4-BE49-F238E27FC236}">
              <a16:creationId xmlns:a16="http://schemas.microsoft.com/office/drawing/2014/main" id="{391F6408-9FDD-4090-BCC8-7A73BB56C5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23000" y="34322385"/>
          <a:ext cx="70748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headerRowDxfId="309" dataDxfId="308">
  <autoFilter ref="D1:D10" xr:uid="{4350EFB0-EACE-4F2E-965F-30EBADAB0D63}"/>
  <sortState xmlns:xlrd2="http://schemas.microsoft.com/office/spreadsheetml/2017/richdata2" ref="D2:D10">
    <sortCondition ref="D2:D10"/>
  </sortState>
  <tableColumns count="1">
    <tableColumn id="1" xr3:uid="{20635FEE-B87A-4613-8116-D42DBA41BC7B}" name="Material" dataDxfId="30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1" totalsRowShown="0" headerRowDxfId="306" dataDxfId="305">
  <autoFilter ref="F1:F11" xr:uid="{6939741E-8EC4-48CA-B62A-CDE619601AF9}"/>
  <sortState xmlns:xlrd2="http://schemas.microsoft.com/office/spreadsheetml/2017/richdata2" ref="F2:F11">
    <sortCondition ref="F2:F11"/>
  </sortState>
  <tableColumns count="1">
    <tableColumn id="1" xr3:uid="{FCA45FDF-4BF6-485F-9343-A0FC0251070A}" name="Shape" dataDxfId="30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headerRowDxfId="303" dataDxfId="302">
  <autoFilter ref="H1:H5" xr:uid="{2397A227-8DCB-4BDE-A6B8-65F88654921D}"/>
  <tableColumns count="1">
    <tableColumn id="1" xr3:uid="{027BD434-05A1-4059-97D8-98CB878E91EF}" name="Type" dataDxfId="30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2" totalsRowCount="1" headerRowDxfId="300" dataDxfId="299" totalsRowDxfId="298">
  <autoFilter ref="J1:J21" xr:uid="{88C10C78-AF29-47BA-9C97-B74BAA8C7E1E}"/>
  <tableColumns count="1">
    <tableColumn id="1" xr3:uid="{C70FD3B5-6EE9-47D3-96F9-BC5D876984C6}" name="Design Response" dataDxfId="297" totalsRowDxfId="29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261821-00BA-47C6-9966-09F0C61A53D6}" name="OP" displayName="OP" ref="H8:H14" totalsRowShown="0" headerRowDxfId="295" dataDxfId="294">
  <autoFilter ref="H8:H14" xr:uid="{DB261821-00BA-47C6-9966-09F0C61A53D6}"/>
  <tableColumns count="1">
    <tableColumn id="1" xr3:uid="{62346A3B-A68D-4C87-9BFA-2C1AE1C31679}" name="Outlet Protection" dataDxfId="29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A3E2B9A-CDE6-4AED-B4C1-3F05B3376F37}" name="Storms" displayName="Storms" ref="K26:L32" totalsRowShown="0" headerRowDxfId="292">
  <autoFilter ref="K26:L32" xr:uid="{DA3E2B9A-CDE6-4AED-B4C1-3F05B3376F37}"/>
  <tableColumns count="2">
    <tableColumn id="1" xr3:uid="{D6C0B03A-3B69-43AC-BB12-3F71109D27B6}" name="Known or Adj Storm" dataDxfId="291"/>
    <tableColumn id="2" xr3:uid="{4E43272E-4428-4B6C-A6E9-657F071A2134}" name="Requirements" dataDxfId="29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D2F5D8-A49A-45E4-A412-5EB745DB8AB5}" name="Table7" displayName="Table7" ref="L34:L36" totalsRowShown="0" headerRowDxfId="289" dataDxfId="288">
  <autoFilter ref="L34:L36" xr:uid="{56D2F5D8-A49A-45E4-A412-5EB745DB8AB5}"/>
  <tableColumns count="1">
    <tableColumn id="1" xr3:uid="{295D3A55-D0F9-4783-BE6A-20D2256D216E}" name="Question" dataDxfId="28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D24847A-50BE-48E9-94F6-36731DFF6B41}" name="Table810" displayName="Table810" ref="B11:B14" totalsRowShown="0" headerRowDxfId="286" dataDxfId="285">
  <autoFilter ref="B11:B14" xr:uid="{2D24847A-50BE-48E9-94F6-36731DFF6B41}"/>
  <tableColumns count="1">
    <tableColumn id="1" xr3:uid="{D4488CE4-74AF-4931-9A2E-60CE8D009958}" name="Acceptance Table" dataDxfId="28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BFA6B7-DE24-407A-8C6E-D74702789DC1}" name="RRC" displayName="RRC" ref="H17:H22" totalsRowShown="0" headerRowDxfId="283" dataDxfId="282">
  <autoFilter ref="H17:H22" xr:uid="{7BBFA6B7-DE24-407A-8C6E-D74702789DC1}"/>
  <tableColumns count="1">
    <tableColumn id="1" xr3:uid="{ED1E38F6-0D51-471C-91E6-2A99125E1BFA}" name="Riprap Class" dataDxfId="28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46"/>
  <sheetViews>
    <sheetView showGridLines="0" zoomScaleNormal="100" workbookViewId="0">
      <selection activeCell="F14" sqref="F14"/>
    </sheetView>
  </sheetViews>
  <sheetFormatPr defaultRowHeight="14.4" x14ac:dyDescent="0.3"/>
  <cols>
    <col min="1" max="1" width="29" style="36" bestFit="1" customWidth="1"/>
    <col min="2" max="2" width="25.77734375" style="36" customWidth="1"/>
    <col min="3" max="3" width="4.77734375" style="36" customWidth="1"/>
    <col min="4" max="4" width="25.44140625" style="36" bestFit="1" customWidth="1"/>
    <col min="5" max="5" width="4.77734375" style="36" customWidth="1"/>
    <col min="6" max="6" width="20.77734375" style="36" customWidth="1"/>
    <col min="7" max="7" width="5.77734375" style="36" customWidth="1"/>
    <col min="8" max="8" width="25.77734375" style="36" customWidth="1"/>
    <col min="9" max="9" width="3.77734375" style="36" customWidth="1"/>
    <col min="10" max="10" width="75.6640625" style="36" bestFit="1" customWidth="1"/>
    <col min="11" max="11" width="20" style="36" customWidth="1"/>
    <col min="12" max="12" width="22.77734375" style="36" bestFit="1" customWidth="1"/>
    <col min="13" max="13" width="25" style="36" bestFit="1" customWidth="1"/>
    <col min="14" max="15" width="20.44140625" style="36" bestFit="1" customWidth="1"/>
    <col min="16" max="16" width="20.44140625" style="36" customWidth="1"/>
    <col min="17" max="17" width="25" style="36" bestFit="1" customWidth="1"/>
    <col min="18" max="19" width="20.44140625" style="36" bestFit="1" customWidth="1"/>
    <col min="20" max="16384" width="8.88671875" style="36"/>
  </cols>
  <sheetData>
    <row r="1" spans="1:19" x14ac:dyDescent="0.3">
      <c r="A1" s="165" t="s">
        <v>413</v>
      </c>
      <c r="B1" s="166"/>
      <c r="D1" s="36" t="s">
        <v>20</v>
      </c>
      <c r="F1" s="36" t="s">
        <v>30</v>
      </c>
      <c r="H1" s="36" t="s">
        <v>58</v>
      </c>
      <c r="J1" s="36" t="s">
        <v>75</v>
      </c>
      <c r="K1" s="117">
        <v>1</v>
      </c>
      <c r="L1" s="138" t="s">
        <v>240</v>
      </c>
      <c r="M1" s="138" t="s">
        <v>400</v>
      </c>
      <c r="N1" s="138" t="s">
        <v>150</v>
      </c>
      <c r="O1" s="138" t="s">
        <v>170</v>
      </c>
      <c r="P1" s="138" t="s">
        <v>488</v>
      </c>
      <c r="Q1" s="138" t="s">
        <v>152</v>
      </c>
      <c r="R1" s="138" t="s">
        <v>149</v>
      </c>
      <c r="S1" s="138" t="s">
        <v>151</v>
      </c>
    </row>
    <row r="2" spans="1:19" x14ac:dyDescent="0.3">
      <c r="A2" s="139" t="s">
        <v>416</v>
      </c>
      <c r="B2" s="140">
        <f>EDATE(F$13,B3)</f>
        <v>46661</v>
      </c>
      <c r="C2"/>
      <c r="D2" s="36" t="s">
        <v>21</v>
      </c>
      <c r="F2" s="36" t="s">
        <v>279</v>
      </c>
      <c r="H2" s="119" t="s">
        <v>221</v>
      </c>
      <c r="J2" s="36" t="s">
        <v>235</v>
      </c>
      <c r="K2" s="117">
        <f>K1+1</f>
        <v>2</v>
      </c>
      <c r="L2" s="129" t="s">
        <v>5</v>
      </c>
      <c r="M2" s="101">
        <v>1</v>
      </c>
      <c r="N2" s="101">
        <v>1.1000000000000001</v>
      </c>
      <c r="O2" s="101">
        <v>1.1000000000000001</v>
      </c>
      <c r="P2" s="101">
        <v>1.1000000000000001</v>
      </c>
      <c r="Q2" s="101">
        <v>1.2</v>
      </c>
      <c r="R2" s="101">
        <v>1.1000000000000001</v>
      </c>
      <c r="S2" s="101">
        <v>1.1000000000000001</v>
      </c>
    </row>
    <row r="3" spans="1:19" x14ac:dyDescent="0.3">
      <c r="A3" s="141" t="s">
        <v>415</v>
      </c>
      <c r="B3" s="142">
        <v>13</v>
      </c>
      <c r="C3"/>
      <c r="D3" s="36" t="s">
        <v>65</v>
      </c>
      <c r="F3" s="36" t="s">
        <v>280</v>
      </c>
      <c r="H3" s="36" t="s">
        <v>222</v>
      </c>
      <c r="J3" s="36" t="s">
        <v>70</v>
      </c>
      <c r="K3" s="117">
        <f t="shared" ref="K3:K23" si="0">K2+1</f>
        <v>3</v>
      </c>
      <c r="L3" s="129" t="s">
        <v>6</v>
      </c>
      <c r="M3" s="101">
        <v>6.02</v>
      </c>
      <c r="N3" s="101">
        <v>4.1100000000000003</v>
      </c>
      <c r="O3" s="101">
        <v>4.1399999999999997</v>
      </c>
      <c r="P3" s="101">
        <v>4.12</v>
      </c>
      <c r="Q3" s="101">
        <v>5.7</v>
      </c>
      <c r="R3" s="101">
        <v>4.24</v>
      </c>
      <c r="S3" s="101">
        <v>4.21</v>
      </c>
    </row>
    <row r="4" spans="1:19" x14ac:dyDescent="0.3">
      <c r="A4" s="141" t="s">
        <v>418</v>
      </c>
      <c r="B4" s="147"/>
      <c r="C4"/>
      <c r="D4" s="36" t="s">
        <v>66</v>
      </c>
      <c r="F4" s="36" t="s">
        <v>167</v>
      </c>
      <c r="H4" s="36" t="s">
        <v>243</v>
      </c>
      <c r="J4" s="36" t="s">
        <v>76</v>
      </c>
      <c r="K4" s="117">
        <f t="shared" si="0"/>
        <v>4</v>
      </c>
      <c r="L4" s="129" t="s">
        <v>7</v>
      </c>
      <c r="M4" s="101">
        <v>7.68</v>
      </c>
      <c r="N4" s="101">
        <v>5.01</v>
      </c>
      <c r="O4" s="101">
        <v>5.0599999999999996</v>
      </c>
      <c r="P4" s="101">
        <v>5.05</v>
      </c>
      <c r="Q4" s="101">
        <v>7.21</v>
      </c>
      <c r="R4" s="101">
        <v>5.3</v>
      </c>
      <c r="S4" s="101">
        <v>5.24</v>
      </c>
    </row>
    <row r="5" spans="1:19" x14ac:dyDescent="0.3">
      <c r="A5" s="141" t="s">
        <v>412</v>
      </c>
      <c r="B5" s="142" t="s">
        <v>440</v>
      </c>
      <c r="C5" s="132"/>
      <c r="D5" s="36" t="s">
        <v>25</v>
      </c>
      <c r="F5" s="36" t="s">
        <v>166</v>
      </c>
      <c r="H5" s="36" t="s">
        <v>223</v>
      </c>
      <c r="J5" s="36" t="s">
        <v>67</v>
      </c>
      <c r="K5" s="117">
        <f t="shared" si="0"/>
        <v>5</v>
      </c>
      <c r="L5" s="129" t="s">
        <v>8</v>
      </c>
      <c r="M5" s="101">
        <v>9.26</v>
      </c>
      <c r="N5" s="101">
        <v>5.87</v>
      </c>
      <c r="O5" s="101">
        <v>5.91</v>
      </c>
      <c r="P5" s="101">
        <v>5.83</v>
      </c>
      <c r="Q5" s="101">
        <v>8.6300000000000008</v>
      </c>
      <c r="R5" s="101">
        <v>6.24</v>
      </c>
      <c r="S5" s="101">
        <v>6.17</v>
      </c>
    </row>
    <row r="6" spans="1:19" x14ac:dyDescent="0.3">
      <c r="A6" s="141" t="s">
        <v>419</v>
      </c>
      <c r="B6" s="143">
        <f>IF(ISBLANK($B$4),$B$2,$B$4)</f>
        <v>46661</v>
      </c>
      <c r="C6"/>
      <c r="D6" s="36" t="s">
        <v>23</v>
      </c>
      <c r="F6" s="36" t="s">
        <v>168</v>
      </c>
      <c r="J6" s="36" t="str">
        <f>"Emergency Spillway Velocity &gt; "&amp;F26&amp;" ft/s"</f>
        <v>Emergency Spillway Velocity &gt; 6 ft/s</v>
      </c>
      <c r="K6" s="117">
        <f t="shared" si="0"/>
        <v>6</v>
      </c>
      <c r="L6" s="129" t="s">
        <v>9</v>
      </c>
      <c r="M6" s="101">
        <v>11.7</v>
      </c>
      <c r="N6" s="101">
        <v>7.21</v>
      </c>
      <c r="O6" s="101">
        <v>7.26</v>
      </c>
      <c r="P6" s="101">
        <v>6.91</v>
      </c>
      <c r="Q6" s="101">
        <v>10.8</v>
      </c>
      <c r="R6" s="101">
        <v>7.64</v>
      </c>
      <c r="S6" s="101">
        <v>7.55</v>
      </c>
    </row>
    <row r="7" spans="1:19" x14ac:dyDescent="0.3">
      <c r="A7" s="141" t="s">
        <v>411</v>
      </c>
      <c r="B7" s="144" t="b">
        <f>IF(License!$F$2="I ACCEPT",TRUE,FALSE)</f>
        <v>0</v>
      </c>
      <c r="C7" s="133"/>
      <c r="D7" s="36" t="s">
        <v>22</v>
      </c>
      <c r="F7" s="36" t="s">
        <v>169</v>
      </c>
      <c r="J7" s="36" t="s">
        <v>383</v>
      </c>
      <c r="K7" s="117">
        <f t="shared" si="0"/>
        <v>7</v>
      </c>
      <c r="L7" s="129" t="s">
        <v>281</v>
      </c>
      <c r="M7" s="101">
        <v>13.9</v>
      </c>
      <c r="N7" s="101">
        <v>8.3699999999999992</v>
      </c>
      <c r="O7" s="101">
        <v>8.48</v>
      </c>
      <c r="P7" s="101">
        <v>7.75</v>
      </c>
      <c r="Q7" s="101">
        <v>12.7</v>
      </c>
      <c r="R7" s="101">
        <v>8.8000000000000007</v>
      </c>
      <c r="S7" s="101">
        <v>8.6999999999999993</v>
      </c>
    </row>
    <row r="8" spans="1:19" x14ac:dyDescent="0.3">
      <c r="A8" s="145" t="s">
        <v>410</v>
      </c>
      <c r="B8" s="146" t="b">
        <f ca="1">OR(License!$F$4=B5, AND(B7=TRUE, NOW()&lt;B6))</f>
        <v>0</v>
      </c>
      <c r="C8"/>
      <c r="D8" s="36" t="s">
        <v>27</v>
      </c>
      <c r="F8" s="36" t="s">
        <v>317</v>
      </c>
      <c r="H8" s="36" t="s">
        <v>374</v>
      </c>
      <c r="J8" s="36" t="s">
        <v>110</v>
      </c>
      <c r="K8" s="117">
        <f t="shared" si="0"/>
        <v>8</v>
      </c>
      <c r="L8" s="129" t="s">
        <v>10</v>
      </c>
      <c r="M8" s="101">
        <v>16.3</v>
      </c>
      <c r="N8" s="101">
        <v>9.65</v>
      </c>
      <c r="O8" s="101">
        <v>9.83</v>
      </c>
      <c r="P8" s="101">
        <v>8.6</v>
      </c>
      <c r="Q8" s="101">
        <v>14.8</v>
      </c>
      <c r="R8" s="101">
        <v>10</v>
      </c>
      <c r="S8" s="101">
        <v>9.93</v>
      </c>
    </row>
    <row r="9" spans="1:19" ht="15.6" x14ac:dyDescent="0.3">
      <c r="C9"/>
      <c r="D9" s="36" t="s">
        <v>24</v>
      </c>
      <c r="F9" s="36" t="s">
        <v>236</v>
      </c>
      <c r="H9" s="36" t="s">
        <v>377</v>
      </c>
      <c r="J9" s="36" t="s">
        <v>143</v>
      </c>
      <c r="K9" s="117">
        <f t="shared" si="0"/>
        <v>9</v>
      </c>
      <c r="L9" s="129" t="s">
        <v>180</v>
      </c>
      <c r="M9" s="120">
        <v>40574</v>
      </c>
      <c r="N9" s="120" t="s">
        <v>179</v>
      </c>
      <c r="O9" s="120" t="s">
        <v>178</v>
      </c>
      <c r="P9" s="120"/>
      <c r="Q9" s="120" t="s">
        <v>177</v>
      </c>
      <c r="R9" s="120" t="s">
        <v>177</v>
      </c>
      <c r="S9" s="120" t="s">
        <v>176</v>
      </c>
    </row>
    <row r="10" spans="1:19" x14ac:dyDescent="0.3">
      <c r="D10" s="36" t="s">
        <v>64</v>
      </c>
      <c r="F10" s="36" t="s">
        <v>27</v>
      </c>
      <c r="H10" s="36" t="s">
        <v>378</v>
      </c>
      <c r="J10" s="36" t="s">
        <v>444</v>
      </c>
      <c r="K10" s="117">
        <f t="shared" si="0"/>
        <v>10</v>
      </c>
      <c r="L10" s="129" t="s">
        <v>175</v>
      </c>
      <c r="M10" s="116" t="s">
        <v>174</v>
      </c>
      <c r="N10" s="116" t="s">
        <v>173</v>
      </c>
      <c r="O10" s="116" t="s">
        <v>174</v>
      </c>
      <c r="P10" s="116" t="s">
        <v>174</v>
      </c>
      <c r="Q10" s="116" t="s">
        <v>173</v>
      </c>
      <c r="R10" s="116" t="s">
        <v>173</v>
      </c>
      <c r="S10" s="116" t="s">
        <v>173</v>
      </c>
    </row>
    <row r="11" spans="1:19" x14ac:dyDescent="0.3">
      <c r="B11" s="36" t="s">
        <v>406</v>
      </c>
      <c r="H11" s="36" t="s">
        <v>379</v>
      </c>
      <c r="J11" s="36" t="s">
        <v>200</v>
      </c>
      <c r="K11" s="117">
        <f t="shared" si="0"/>
        <v>11</v>
      </c>
      <c r="L11" s="129" t="s">
        <v>186</v>
      </c>
      <c r="M11" s="116" t="s">
        <v>448</v>
      </c>
      <c r="N11" s="116" t="s">
        <v>187</v>
      </c>
      <c r="O11" s="116" t="s">
        <v>116</v>
      </c>
      <c r="P11" s="116"/>
      <c r="Q11" s="116" t="s">
        <v>116</v>
      </c>
      <c r="R11" s="116" t="s">
        <v>116</v>
      </c>
      <c r="S11" s="116" t="s">
        <v>116</v>
      </c>
    </row>
    <row r="12" spans="1:19" ht="16.2" x14ac:dyDescent="0.3">
      <c r="B12" s="36" t="s">
        <v>407</v>
      </c>
      <c r="H12" s="36" t="s">
        <v>380</v>
      </c>
      <c r="J12" s="36" t="s">
        <v>511</v>
      </c>
      <c r="K12" s="117">
        <f t="shared" si="0"/>
        <v>12</v>
      </c>
      <c r="L12" s="129" t="s">
        <v>237</v>
      </c>
      <c r="M12" s="116"/>
      <c r="N12" s="116"/>
      <c r="O12" s="116"/>
      <c r="P12" s="116"/>
      <c r="Q12" s="116" t="s">
        <v>241</v>
      </c>
      <c r="R12" s="116" t="s">
        <v>262</v>
      </c>
      <c r="S12" s="116"/>
    </row>
    <row r="13" spans="1:19" x14ac:dyDescent="0.3">
      <c r="B13" s="36" t="s">
        <v>404</v>
      </c>
      <c r="D13" s="51" t="s">
        <v>414</v>
      </c>
      <c r="F13" s="121">
        <v>46266</v>
      </c>
      <c r="H13" s="36" t="s">
        <v>381</v>
      </c>
      <c r="J13" s="36" t="str">
        <f>F25&amp;" has not been provided"</f>
        <v>0 has not been provided</v>
      </c>
      <c r="K13" s="117">
        <f t="shared" si="0"/>
        <v>13</v>
      </c>
      <c r="L13" s="129" t="s">
        <v>238</v>
      </c>
      <c r="M13" s="116">
        <v>6</v>
      </c>
      <c r="N13" s="116">
        <v>5</v>
      </c>
      <c r="O13" s="116">
        <v>5</v>
      </c>
      <c r="P13" s="116">
        <v>6</v>
      </c>
      <c r="Q13" s="116">
        <v>6</v>
      </c>
      <c r="R13" s="116">
        <v>6</v>
      </c>
      <c r="S13" s="116">
        <v>6</v>
      </c>
    </row>
    <row r="14" spans="1:19" x14ac:dyDescent="0.3">
      <c r="B14" s="36" t="s">
        <v>405</v>
      </c>
      <c r="D14" s="51" t="s">
        <v>153</v>
      </c>
      <c r="F14" s="122" t="s">
        <v>400</v>
      </c>
      <c r="H14" s="36" t="s">
        <v>27</v>
      </c>
      <c r="J14" s="36" t="str">
        <f>"Known flooding:  "&amp;'Form 2A.1 - Design'!AS123&amp;"-yr discharge &gt; "&amp;'Form 2A.1 - Design'!AR123&amp;"-yr discharge"</f>
        <v>Known flooding:  2, 5, 10, 25, 50, and 100-yr discharge &gt; 2, 5, 10, 25, 50, and 100-yr discharge</v>
      </c>
      <c r="K14" s="117">
        <f t="shared" si="0"/>
        <v>14</v>
      </c>
      <c r="L14" s="129" t="s">
        <v>283</v>
      </c>
      <c r="M14" s="124" t="s">
        <v>311</v>
      </c>
      <c r="N14" s="124" t="s">
        <v>311</v>
      </c>
      <c r="O14" s="123"/>
      <c r="P14" s="123"/>
      <c r="Q14" s="124" t="s">
        <v>311</v>
      </c>
      <c r="R14" s="124" t="s">
        <v>264</v>
      </c>
      <c r="S14" s="124" t="s">
        <v>265</v>
      </c>
    </row>
    <row r="15" spans="1:19" x14ac:dyDescent="0.3">
      <c r="D15" s="51" t="s">
        <v>5</v>
      </c>
      <c r="F15" s="101">
        <f>HLOOKUP($F$14,$M$1:$S$23,2)</f>
        <v>1</v>
      </c>
      <c r="G15" s="116" t="str">
        <f>TEXT(F15,"0.00")</f>
        <v>1.00</v>
      </c>
      <c r="J15" s="36" t="s">
        <v>343</v>
      </c>
      <c r="K15" s="117">
        <f t="shared" si="0"/>
        <v>15</v>
      </c>
      <c r="L15" s="129" t="s">
        <v>282</v>
      </c>
      <c r="M15" s="116" t="s">
        <v>284</v>
      </c>
      <c r="N15" s="116" t="s">
        <v>284</v>
      </c>
      <c r="O15" s="116" t="s">
        <v>284</v>
      </c>
      <c r="P15" s="116" t="s">
        <v>284</v>
      </c>
      <c r="Q15" s="116" t="s">
        <v>284</v>
      </c>
      <c r="R15" s="116" t="s">
        <v>284</v>
      </c>
      <c r="S15" s="116" t="s">
        <v>284</v>
      </c>
    </row>
    <row r="16" spans="1:19" x14ac:dyDescent="0.3">
      <c r="D16" s="51" t="s">
        <v>6</v>
      </c>
      <c r="F16" s="101">
        <f>HLOOKUP($F$14,$M$1:$S$23,3)</f>
        <v>6.02</v>
      </c>
      <c r="J16" s="36" t="str">
        <f>"Drains to adjacent property:  "&amp;'Form 2A.1 - Design'!AS123&amp;"-yr discharge &gt; "&amp;'Form 2A.1 - Design'!AR123&amp;"-yr discharge"</f>
        <v>Drains to adjacent property:  2, 5, 10, 25, 50, and 100-yr discharge &gt; 2, 5, 10, 25, 50, and 100-yr discharge</v>
      </c>
      <c r="K16" s="117">
        <f t="shared" si="0"/>
        <v>16</v>
      </c>
      <c r="L16" s="129" t="s">
        <v>303</v>
      </c>
      <c r="M16" s="116">
        <v>6</v>
      </c>
      <c r="N16" s="116">
        <v>6</v>
      </c>
      <c r="O16" s="116">
        <v>6</v>
      </c>
      <c r="P16" s="116">
        <v>6</v>
      </c>
      <c r="Q16" s="116">
        <v>5</v>
      </c>
      <c r="R16" s="116">
        <v>6</v>
      </c>
      <c r="S16" s="116">
        <v>6</v>
      </c>
    </row>
    <row r="17" spans="4:19" x14ac:dyDescent="0.3">
      <c r="D17" s="51" t="s">
        <v>7</v>
      </c>
      <c r="F17" s="101">
        <f>HLOOKUP($F$14,$M$1:$S$23,4)</f>
        <v>7.68</v>
      </c>
      <c r="G17" s="125"/>
      <c r="H17" s="36" t="s">
        <v>502</v>
      </c>
      <c r="J17" s="36" t="s">
        <v>315</v>
      </c>
      <c r="K17" s="117">
        <f t="shared" si="0"/>
        <v>17</v>
      </c>
      <c r="L17" s="129" t="s">
        <v>302</v>
      </c>
      <c r="M17" s="116" t="s">
        <v>138</v>
      </c>
      <c r="N17" s="116" t="s">
        <v>138</v>
      </c>
      <c r="O17" s="116" t="s">
        <v>138</v>
      </c>
      <c r="P17" s="116" t="s">
        <v>138</v>
      </c>
      <c r="Q17" s="116" t="s">
        <v>138</v>
      </c>
      <c r="R17" s="116" t="s">
        <v>138</v>
      </c>
      <c r="S17" s="116" t="s">
        <v>138</v>
      </c>
    </row>
    <row r="18" spans="4:19" x14ac:dyDescent="0.3">
      <c r="D18" s="51" t="s">
        <v>8</v>
      </c>
      <c r="F18" s="101">
        <f>HLOOKUP($F$14,$M$1:$S$23,5)</f>
        <v>9.26</v>
      </c>
      <c r="H18" s="116">
        <v>1</v>
      </c>
      <c r="J18" s="36" t="str">
        <f>"Outlet Control Structure Velocity &gt; "&amp;F26&amp;" ft/s"</f>
        <v>Outlet Control Structure Velocity &gt; 6 ft/s</v>
      </c>
      <c r="K18" s="117">
        <f t="shared" si="0"/>
        <v>18</v>
      </c>
      <c r="L18" s="129" t="s">
        <v>321</v>
      </c>
      <c r="M18" s="116">
        <v>25</v>
      </c>
      <c r="N18" s="116">
        <v>25</v>
      </c>
      <c r="O18" s="116">
        <v>25</v>
      </c>
      <c r="P18" s="116">
        <v>25</v>
      </c>
      <c r="Q18" s="116">
        <v>2</v>
      </c>
      <c r="R18" s="116">
        <v>25</v>
      </c>
      <c r="S18" s="116">
        <v>25</v>
      </c>
    </row>
    <row r="19" spans="4:19" x14ac:dyDescent="0.3">
      <c r="D19" s="51" t="s">
        <v>9</v>
      </c>
      <c r="F19" s="101">
        <f>HLOOKUP($F$14,$M$1:$S$23,6)</f>
        <v>11.7</v>
      </c>
      <c r="H19" s="116">
        <v>2</v>
      </c>
      <c r="J19" s="36" t="s">
        <v>350</v>
      </c>
      <c r="K19" s="117">
        <f t="shared" si="0"/>
        <v>19</v>
      </c>
      <c r="L19" s="129" t="s">
        <v>359</v>
      </c>
      <c r="M19" s="116" t="str">
        <f t="shared" ref="M19" si="1">VLOOKUP(M18,$K$27:$L$32,2)</f>
        <v>25, 50, and 100</v>
      </c>
      <c r="N19" s="116" t="str">
        <f>VLOOKUP(N18,$K$27:$L$32,2)</f>
        <v>25, 50, and 100</v>
      </c>
      <c r="O19" s="116" t="str">
        <f>VLOOKUP(O18,$K$27:$L$32,2)</f>
        <v>25, 50, and 100</v>
      </c>
      <c r="P19" s="116" t="str">
        <f>VLOOKUP(P18,$K$27:$L$32,2)</f>
        <v>25, 50, and 100</v>
      </c>
      <c r="Q19" s="116" t="str">
        <f t="shared" ref="Q19:S19" si="2">VLOOKUP(Q18,$K$27:$L$32,2)</f>
        <v>2, 5, 10, 25, 50, and 100</v>
      </c>
      <c r="R19" s="116" t="str">
        <f t="shared" si="2"/>
        <v>25, 50, and 100</v>
      </c>
      <c r="S19" s="116" t="str">
        <f t="shared" si="2"/>
        <v>25, 50, and 100</v>
      </c>
    </row>
    <row r="20" spans="4:19" x14ac:dyDescent="0.3">
      <c r="D20" s="51" t="s">
        <v>281</v>
      </c>
      <c r="F20" s="101">
        <f>HLOOKUP($F$14,$M$1:$S$23,7)</f>
        <v>13.9</v>
      </c>
      <c r="H20" s="116">
        <v>3</v>
      </c>
      <c r="J20" s="36" t="s">
        <v>385</v>
      </c>
      <c r="K20" s="117">
        <f t="shared" si="0"/>
        <v>20</v>
      </c>
      <c r="L20" s="129" t="s">
        <v>322</v>
      </c>
      <c r="M20" s="116" t="s">
        <v>138</v>
      </c>
      <c r="N20" s="116" t="s">
        <v>138</v>
      </c>
      <c r="O20" s="116" t="s">
        <v>138</v>
      </c>
      <c r="P20" s="116" t="s">
        <v>138</v>
      </c>
      <c r="Q20" s="116" t="s">
        <v>159</v>
      </c>
      <c r="R20" s="116" t="s">
        <v>159</v>
      </c>
      <c r="S20" s="116" t="s">
        <v>159</v>
      </c>
    </row>
    <row r="21" spans="4:19" x14ac:dyDescent="0.3">
      <c r="D21" s="51" t="s">
        <v>10</v>
      </c>
      <c r="F21" s="101">
        <f>HLOOKUP($F$14,$M$1:$S$23,8)</f>
        <v>16.3</v>
      </c>
      <c r="H21" s="116">
        <v>4</v>
      </c>
      <c r="J21" s="36" t="str">
        <f>"Detention pond bottom slope  &lt; "&amp;'Form 2A.1 - Design'!AQ101&amp;".00%"</f>
        <v>Detention pond bottom slope  &lt; 1.00%</v>
      </c>
      <c r="K21" s="117">
        <f t="shared" si="0"/>
        <v>21</v>
      </c>
      <c r="L21" s="129" t="s">
        <v>323</v>
      </c>
      <c r="M21" s="116">
        <v>25</v>
      </c>
      <c r="N21" s="116">
        <v>25</v>
      </c>
      <c r="O21" s="116">
        <v>25</v>
      </c>
      <c r="P21" s="116">
        <v>25</v>
      </c>
      <c r="Q21" s="116">
        <v>2</v>
      </c>
      <c r="R21" s="116">
        <v>25</v>
      </c>
      <c r="S21" s="116">
        <v>25</v>
      </c>
    </row>
    <row r="22" spans="4:19" x14ac:dyDescent="0.3">
      <c r="D22" s="51" t="s">
        <v>180</v>
      </c>
      <c r="F22" s="101">
        <f>HLOOKUP($F$14,$M$1:$S$23,9)</f>
        <v>40574</v>
      </c>
      <c r="H22" s="116">
        <v>5</v>
      </c>
      <c r="K22" s="117">
        <f t="shared" si="0"/>
        <v>22</v>
      </c>
      <c r="L22" s="129" t="s">
        <v>360</v>
      </c>
      <c r="M22" s="116" t="str">
        <f t="shared" ref="M22" si="3">VLOOKUP(M21,$K$27:$L$32,2)</f>
        <v>25, 50, and 100</v>
      </c>
      <c r="N22" s="116" t="str">
        <f>VLOOKUP(N21,$K$27:$L$32,2)</f>
        <v>25, 50, and 100</v>
      </c>
      <c r="O22" s="116" t="str">
        <f>VLOOKUP(O21,$K$27:$L$32,2)</f>
        <v>25, 50, and 100</v>
      </c>
      <c r="P22" s="116" t="str">
        <f>VLOOKUP(P21,$K$27:$L$32,2)</f>
        <v>25, 50, and 100</v>
      </c>
      <c r="Q22" s="116" t="str">
        <f t="shared" ref="Q22" si="4">VLOOKUP(Q21,$K$27:$L$32,2)</f>
        <v>2, 5, 10, 25, 50, and 100</v>
      </c>
      <c r="R22" s="116" t="str">
        <f t="shared" ref="R22" si="5">VLOOKUP(R21,$K$27:$L$32,2)</f>
        <v>25, 50, and 100</v>
      </c>
      <c r="S22" s="116" t="str">
        <f t="shared" ref="S22" si="6">VLOOKUP(S21,$K$27:$L$32,2)</f>
        <v>25, 50, and 100</v>
      </c>
    </row>
    <row r="23" spans="4:19" x14ac:dyDescent="0.3">
      <c r="D23" s="51" t="s">
        <v>185</v>
      </c>
      <c r="F23" s="126" t="str">
        <f>HLOOKUP($F$14,$M$1:$S$23,10)</f>
        <v>County</v>
      </c>
      <c r="J23" s="36" t="e">
        <f>"For Class "&amp;'Form 2A.1 - Design'!$AR$80&amp;" Riprap, the minimum depth is "&amp;'Form 2A.1 - Design'!$AS$80&amp;"0-feet"</f>
        <v>#N/A</v>
      </c>
      <c r="K23" s="117">
        <f t="shared" si="0"/>
        <v>23</v>
      </c>
      <c r="L23" s="129" t="s">
        <v>358</v>
      </c>
      <c r="M23" s="116" t="s">
        <v>449</v>
      </c>
      <c r="N23" s="116" t="s">
        <v>486</v>
      </c>
      <c r="O23" s="116" t="s">
        <v>486</v>
      </c>
      <c r="P23" s="116" t="s">
        <v>486</v>
      </c>
      <c r="Q23" s="116" t="s">
        <v>486</v>
      </c>
      <c r="R23" s="116" t="s">
        <v>487</v>
      </c>
      <c r="S23" s="116" t="s">
        <v>486</v>
      </c>
    </row>
    <row r="24" spans="4:19" x14ac:dyDescent="0.3">
      <c r="D24" s="51" t="s">
        <v>186</v>
      </c>
      <c r="F24" s="126" t="str">
        <f>HLOOKUP($F$14,$M$1:$S$23,11)</f>
        <v xml:space="preserve"> O&amp;M Plan</v>
      </c>
      <c r="I24" s="131"/>
      <c r="K24" s="117">
        <v>24</v>
      </c>
      <c r="L24" s="129" t="s">
        <v>420</v>
      </c>
      <c r="M24" s="116">
        <v>1</v>
      </c>
      <c r="N24" s="116">
        <v>2</v>
      </c>
      <c r="O24" s="116">
        <v>2</v>
      </c>
      <c r="P24" s="116">
        <v>2</v>
      </c>
      <c r="Q24" s="116">
        <v>2</v>
      </c>
      <c r="R24" s="116">
        <v>2</v>
      </c>
      <c r="S24" s="116">
        <v>2</v>
      </c>
    </row>
    <row r="25" spans="4:19" x14ac:dyDescent="0.3">
      <c r="D25" s="51" t="s">
        <v>237</v>
      </c>
      <c r="F25" s="116">
        <f>HLOOKUP($F$14,$M$1:$S$23,12)</f>
        <v>0</v>
      </c>
      <c r="I25" s="131"/>
      <c r="K25" s="36">
        <v>25</v>
      </c>
      <c r="L25" s="129" t="s">
        <v>421</v>
      </c>
      <c r="M25" s="116" t="s">
        <v>400</v>
      </c>
      <c r="N25" s="116" t="s">
        <v>422</v>
      </c>
      <c r="O25" s="116" t="s">
        <v>423</v>
      </c>
      <c r="P25" s="116" t="s">
        <v>488</v>
      </c>
      <c r="Q25" s="116" t="s">
        <v>424</v>
      </c>
      <c r="R25" s="116" t="s">
        <v>425</v>
      </c>
      <c r="S25" s="116" t="s">
        <v>426</v>
      </c>
    </row>
    <row r="26" spans="4:19" x14ac:dyDescent="0.3">
      <c r="D26" s="51" t="s">
        <v>238</v>
      </c>
      <c r="F26" s="116">
        <f>HLOOKUP($F$14,$M$1:$S$23,13)</f>
        <v>6</v>
      </c>
      <c r="I26" s="131"/>
      <c r="K26" s="118" t="s">
        <v>365</v>
      </c>
      <c r="L26" s="118" t="s">
        <v>366</v>
      </c>
      <c r="M26" s="118"/>
    </row>
    <row r="27" spans="4:19" x14ac:dyDescent="0.3">
      <c r="D27" s="51" t="s">
        <v>263</v>
      </c>
      <c r="F27" s="123" t="str">
        <f>HLOOKUP($F$14,$M$1:$S$23,14)</f>
        <v>31 December</v>
      </c>
      <c r="I27" s="131"/>
      <c r="K27" s="36">
        <v>2</v>
      </c>
      <c r="L27" s="51" t="s">
        <v>284</v>
      </c>
      <c r="M27" s="51"/>
    </row>
    <row r="28" spans="4:19" x14ac:dyDescent="0.3">
      <c r="D28" s="51" t="s">
        <v>282</v>
      </c>
      <c r="E28" s="127">
        <f>HLOOKUP($F$14,$M$1:$S$23,16)</f>
        <v>6</v>
      </c>
      <c r="F28" s="123" t="str">
        <f>HLOOKUP($F$14,$M$1:$S$23,15)</f>
        <v>2, 5, 10, 25, 50, and 100</v>
      </c>
      <c r="I28" s="131"/>
      <c r="K28" s="36">
        <v>5</v>
      </c>
      <c r="L28" s="51" t="s">
        <v>361</v>
      </c>
      <c r="M28" s="51"/>
    </row>
    <row r="29" spans="4:19" x14ac:dyDescent="0.3">
      <c r="D29" s="51" t="s">
        <v>302</v>
      </c>
      <c r="E29" s="127"/>
      <c r="F29" s="123" t="str">
        <f>HLOOKUP($F$14,$M$1:$S$23,17)</f>
        <v>No</v>
      </c>
      <c r="I29" s="131"/>
      <c r="K29" s="36">
        <v>10</v>
      </c>
      <c r="L29" s="51" t="s">
        <v>362</v>
      </c>
      <c r="M29" s="51"/>
    </row>
    <row r="30" spans="4:19" x14ac:dyDescent="0.3">
      <c r="D30" s="51" t="s">
        <v>321</v>
      </c>
      <c r="E30" s="127"/>
      <c r="F30" s="127">
        <f>HLOOKUP($F$14,$M$1:$S$23,18)</f>
        <v>25</v>
      </c>
      <c r="I30" s="131"/>
      <c r="K30" s="36">
        <v>25</v>
      </c>
      <c r="L30" s="51" t="s">
        <v>363</v>
      </c>
      <c r="M30" s="51"/>
    </row>
    <row r="31" spans="4:19" x14ac:dyDescent="0.3">
      <c r="D31" s="51" t="s">
        <v>359</v>
      </c>
      <c r="E31" s="127"/>
      <c r="F31" s="127" t="str">
        <f>HLOOKUP($F$14,$M$1:$S$23,19)</f>
        <v>25, 50, and 100</v>
      </c>
      <c r="I31" s="131"/>
      <c r="K31" s="36">
        <v>50</v>
      </c>
      <c r="L31" s="51" t="s">
        <v>364</v>
      </c>
      <c r="M31" s="51"/>
    </row>
    <row r="32" spans="4:19" x14ac:dyDescent="0.3">
      <c r="D32" s="51" t="s">
        <v>322</v>
      </c>
      <c r="E32" s="127"/>
      <c r="F32" s="123" t="str">
        <f>HLOOKUP($F$14,$M$1:$S$23,20)</f>
        <v>No</v>
      </c>
      <c r="I32" s="131"/>
      <c r="K32" s="36">
        <v>100</v>
      </c>
      <c r="L32" s="51">
        <v>100</v>
      </c>
      <c r="M32" s="51"/>
    </row>
    <row r="33" spans="4:13" x14ac:dyDescent="0.3">
      <c r="D33" s="51" t="s">
        <v>323</v>
      </c>
      <c r="E33" s="127"/>
      <c r="F33" s="127">
        <f>HLOOKUP($F$14,$M$1:$S$23,21)</f>
        <v>25</v>
      </c>
    </row>
    <row r="34" spans="4:13" x14ac:dyDescent="0.3">
      <c r="D34" s="51" t="s">
        <v>360</v>
      </c>
      <c r="E34" s="127"/>
      <c r="F34" s="127" t="str">
        <f>HLOOKUP($F$14,$M$1:$S$23,22)</f>
        <v>25, 50, and 100</v>
      </c>
      <c r="L34" s="118" t="s">
        <v>370</v>
      </c>
      <c r="M34" s="118"/>
    </row>
    <row r="35" spans="4:13" x14ac:dyDescent="0.3">
      <c r="D35" s="51" t="s">
        <v>367</v>
      </c>
      <c r="E35" s="127"/>
      <c r="F35" s="127">
        <f>MIN(F30,F33)</f>
        <v>25</v>
      </c>
      <c r="L35" s="116" t="s">
        <v>159</v>
      </c>
      <c r="M35" s="116"/>
    </row>
    <row r="36" spans="4:13" x14ac:dyDescent="0.3">
      <c r="D36" s="51" t="s">
        <v>369</v>
      </c>
      <c r="E36" s="127"/>
      <c r="F36" s="116" t="str">
        <f>VLOOKUP(F35,$K$27:$L$32,2)</f>
        <v>25, 50, and 100</v>
      </c>
      <c r="L36" s="116" t="s">
        <v>138</v>
      </c>
      <c r="M36" s="116"/>
    </row>
    <row r="37" spans="4:13" x14ac:dyDescent="0.3">
      <c r="D37" s="51" t="s">
        <v>358</v>
      </c>
      <c r="E37" s="127"/>
      <c r="F37" s="127" t="str">
        <f>HLOOKUP($F$14,$M$1:$S$23,23)</f>
        <v>Drainage Rights</v>
      </c>
    </row>
    <row r="38" spans="4:13" x14ac:dyDescent="0.3">
      <c r="D38" s="51" t="s">
        <v>420</v>
      </c>
      <c r="E38" s="127"/>
      <c r="F38" s="155">
        <f>HLOOKUP($F$14,$M$1:$S$24,24)</f>
        <v>1</v>
      </c>
    </row>
    <row r="39" spans="4:13" x14ac:dyDescent="0.3">
      <c r="D39" s="51" t="s">
        <v>421</v>
      </c>
      <c r="F39" s="127" t="str">
        <f>HLOOKUP($F$14,$M$1:$S$25,25)</f>
        <v>Baldwin County</v>
      </c>
      <c r="J39" s="117" t="s">
        <v>197</v>
      </c>
    </row>
    <row r="40" spans="4:13" ht="64.95" customHeight="1" x14ac:dyDescent="0.3">
      <c r="E40" s="130" t="s">
        <v>400</v>
      </c>
    </row>
    <row r="41" spans="4:13" ht="64.95" customHeight="1" x14ac:dyDescent="0.3">
      <c r="E41" s="51" t="s">
        <v>150</v>
      </c>
    </row>
    <row r="42" spans="4:13" ht="64.95" customHeight="1" x14ac:dyDescent="0.3">
      <c r="E42" s="51" t="s">
        <v>170</v>
      </c>
    </row>
    <row r="43" spans="4:13" ht="64.95" customHeight="1" x14ac:dyDescent="0.3">
      <c r="E43" s="51" t="s">
        <v>488</v>
      </c>
      <c r="F43" s="38" t="e" vm="1">
        <v>#VALUE!</v>
      </c>
    </row>
    <row r="44" spans="4:13" ht="64.95" customHeight="1" x14ac:dyDescent="0.3">
      <c r="E44" s="51" t="s">
        <v>152</v>
      </c>
    </row>
    <row r="45" spans="4:13" ht="64.95" customHeight="1" x14ac:dyDescent="0.3">
      <c r="E45" s="51" t="s">
        <v>149</v>
      </c>
    </row>
    <row r="46" spans="4:13" ht="64.95" customHeight="1" x14ac:dyDescent="0.3">
      <c r="E46" s="51" t="s">
        <v>151</v>
      </c>
    </row>
  </sheetData>
  <sheetProtection algorithmName="SHA-512" hashValue="5q8cAK7NzR2Hwj9hOdkyP1Ah5l/UkcVTn1e5Rqe5XoJJJyhF2zsCaivSWpfAoTdvgU8v14sNZqNfhlKjIX2hew==" saltValue="gFDiQ8Aq+v5YBJlPG39g9g==" spinCount="100000" sheet="1" objects="1" scenarios="1"/>
  <sortState xmlns:xlrd2="http://schemas.microsoft.com/office/spreadsheetml/2017/richdata2" ref="D19:F24">
    <sortCondition ref="E19:E24"/>
  </sortState>
  <mergeCells count="1">
    <mergeCell ref="A1:B1"/>
  </mergeCells>
  <dataValidations count="3">
    <dataValidation type="list" allowBlank="1" showInputMessage="1" showErrorMessage="1" sqref="F14" xr:uid="{EBBE6338-4834-4C9B-9848-CE10F23E26FB}">
      <formula1>$M$1:$S$1</formula1>
    </dataValidation>
    <dataValidation type="list" allowBlank="1" showInputMessage="1" showErrorMessage="1" sqref="M21:S21 M18:S18" xr:uid="{D6B58A4C-7C48-4FE3-8A25-E00DA256AA5E}">
      <formula1>$K$27:$K$32</formula1>
    </dataValidation>
    <dataValidation type="list" allowBlank="1" showInputMessage="1" showErrorMessage="1" sqref="M20:S20 M17:S17" xr:uid="{28435609-2046-43BD-A9F3-08D43EFBFA74}">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90F5-78AD-482F-B053-1304FA695CE7}">
  <sheetPr codeName="Sheet1">
    <tabColor theme="2" tint="-0.499984740745262"/>
    <pageSetUpPr fitToPage="1"/>
  </sheetPr>
  <dimension ref="A1:Z55"/>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19.95" customHeight="1" x14ac:dyDescent="0.3"/>
  <cols>
    <col min="1" max="1" width="8.88671875" style="135" hidden="1" customWidth="1"/>
    <col min="2" max="2" width="2.77734375" style="55" customWidth="1"/>
    <col min="3" max="3" width="5.77734375" style="54" customWidth="1"/>
    <col min="4" max="4" width="24.77734375" style="55" customWidth="1"/>
    <col min="5" max="5" width="4.77734375" style="55" customWidth="1"/>
    <col min="6" max="6" width="20.5546875" style="55" customWidth="1"/>
    <col min="7" max="11" width="8.88671875" style="55" customWidth="1"/>
    <col min="12" max="13" width="10.77734375" style="55" customWidth="1"/>
    <col min="14" max="14" width="8.88671875" style="55" customWidth="1"/>
    <col min="15" max="16" width="10.77734375" style="55" customWidth="1"/>
    <col min="17" max="18" width="8.88671875" style="55" customWidth="1"/>
    <col min="19" max="19" width="8.88671875" customWidth="1"/>
    <col min="20" max="20" width="8.88671875" style="55" customWidth="1"/>
    <col min="21" max="24" width="0" style="55" hidden="1" customWidth="1"/>
    <col min="25" max="25" width="8.88671875" style="55" hidden="1" customWidth="1"/>
    <col min="26" max="26" width="0" style="55" hidden="1" customWidth="1"/>
    <col min="27" max="16384" width="8.88671875" style="55" hidden="1"/>
  </cols>
  <sheetData>
    <row r="1" spans="1:20" ht="19.95" customHeight="1" x14ac:dyDescent="0.3">
      <c r="C1" s="56" t="s">
        <v>452</v>
      </c>
      <c r="N1" s="134" t="s">
        <v>401</v>
      </c>
      <c r="O1" s="164">
        <f>Tables!F13</f>
        <v>46266</v>
      </c>
      <c r="P1" s="164"/>
      <c r="Q1" s="162"/>
      <c r="R1" s="162"/>
      <c r="S1" s="162"/>
    </row>
    <row r="2" spans="1:20" ht="19.95" customHeight="1" x14ac:dyDescent="0.3">
      <c r="A2" s="136">
        <f>IF(OR(F2="I ACCEPT",F2="I DO NOT ACCEPT"),1,2)</f>
        <v>2</v>
      </c>
      <c r="E2" s="134" t="s">
        <v>403</v>
      </c>
      <c r="F2" s="148" t="s">
        <v>407</v>
      </c>
      <c r="N2" s="134" t="s">
        <v>417</v>
      </c>
      <c r="O2" s="164">
        <f>Tables!B6</f>
        <v>46661</v>
      </c>
      <c r="P2" s="164"/>
      <c r="Q2" s="162"/>
      <c r="R2" s="162"/>
      <c r="S2" s="162"/>
    </row>
    <row r="3" spans="1:20" ht="19.95" customHeight="1" x14ac:dyDescent="0.3">
      <c r="A3" s="136">
        <f ca="1">IF(F3="Workbook is Locked and Unavailable",2,1)</f>
        <v>2</v>
      </c>
      <c r="E3" s="134" t="s">
        <v>409</v>
      </c>
      <c r="F3" s="163" t="str">
        <f ca="1">IF(Tables!$B$8,"Workbook is Active","Workbook is Locked and Unavailable")</f>
        <v>Workbook is Locked and Unavailable</v>
      </c>
      <c r="G3" s="163"/>
      <c r="H3" s="163"/>
    </row>
    <row r="4" spans="1:20" ht="19.95" hidden="1" customHeight="1" x14ac:dyDescent="0.3">
      <c r="B4" s="135"/>
      <c r="C4" s="137"/>
      <c r="D4" s="135"/>
      <c r="E4" s="152" t="s">
        <v>408</v>
      </c>
      <c r="F4" s="151"/>
      <c r="G4" s="135"/>
      <c r="H4" s="135"/>
      <c r="I4" s="135"/>
      <c r="J4" s="135"/>
      <c r="K4" s="135"/>
      <c r="L4" s="135"/>
      <c r="M4" s="135"/>
      <c r="N4" s="135"/>
      <c r="O4" s="135"/>
      <c r="P4" s="135"/>
      <c r="Q4" s="135"/>
      <c r="R4" s="135"/>
      <c r="S4" s="135"/>
      <c r="T4" s="135"/>
    </row>
    <row r="6" spans="1:20" ht="19.95" customHeight="1" x14ac:dyDescent="0.3">
      <c r="D6" s="149"/>
      <c r="E6" s="149" t="s">
        <v>402</v>
      </c>
      <c r="F6" s="55" t="s">
        <v>475</v>
      </c>
    </row>
    <row r="7" spans="1:20" ht="19.95" customHeight="1" x14ac:dyDescent="0.3">
      <c r="D7" s="149"/>
      <c r="E7" s="150"/>
      <c r="F7" s="55" t="str">
        <f>"By clicking I ACCEPT, you represent that you are (a) preparing a post-construction submittal for "&amp;Tables!$F$39&amp;" and/or"</f>
        <v>By clicking I ACCEPT, you represent that you are (a) preparing a post-construction submittal for Baldwin County and/or</v>
      </c>
    </row>
    <row r="8" spans="1:20" ht="19.95" customHeight="1" x14ac:dyDescent="0.3">
      <c r="D8" s="149"/>
      <c r="E8" s="150"/>
      <c r="F8" s="55" t="s">
        <v>454</v>
      </c>
    </row>
    <row r="9" spans="1:20" ht="19.95" customHeight="1" x14ac:dyDescent="0.3">
      <c r="D9" s="149"/>
      <c r="E9" s="150"/>
      <c r="F9" s="55" t="s">
        <v>453</v>
      </c>
    </row>
    <row r="10" spans="1:20" ht="19.95" customHeight="1" x14ac:dyDescent="0.3">
      <c r="D10" s="149"/>
      <c r="E10" s="150"/>
    </row>
    <row r="11" spans="1:20" ht="19.95" customHeight="1" x14ac:dyDescent="0.3">
      <c r="D11" s="149">
        <v>1</v>
      </c>
      <c r="E11" s="9" t="s">
        <v>455</v>
      </c>
    </row>
    <row r="12" spans="1:20" ht="19.95" customHeight="1" x14ac:dyDescent="0.3">
      <c r="D12" s="149"/>
      <c r="E12" s="150"/>
      <c r="F12" s="55" t="s">
        <v>427</v>
      </c>
    </row>
    <row r="13" spans="1:20" ht="19.95" customHeight="1" x14ac:dyDescent="0.3">
      <c r="D13" s="149"/>
      <c r="E13" s="150"/>
      <c r="F13" s="55" t="str">
        <f>"and submit post-construction application materials to "&amp;Tables!$F$39&amp;" and for the User's internal recordkeeping for those"</f>
        <v>and submit post-construction application materials to Baldwin County and for the User's internal recordkeeping for those</v>
      </c>
    </row>
    <row r="14" spans="1:20" ht="19.95" customHeight="1" x14ac:dyDescent="0.3">
      <c r="D14" s="149"/>
      <c r="E14" s="150"/>
      <c r="F14" s="55" t="s">
        <v>428</v>
      </c>
    </row>
    <row r="15" spans="1:20" ht="19.95" customHeight="1" x14ac:dyDescent="0.3">
      <c r="D15" s="149"/>
      <c r="E15" s="150"/>
      <c r="F15" s="55" t="s">
        <v>456</v>
      </c>
    </row>
    <row r="16" spans="1:20" ht="19.95" customHeight="1" x14ac:dyDescent="0.3">
      <c r="D16" s="149">
        <v>2</v>
      </c>
      <c r="E16" s="9" t="s">
        <v>429</v>
      </c>
    </row>
    <row r="17" spans="4:6" ht="19.95" customHeight="1" x14ac:dyDescent="0.3">
      <c r="D17" s="149"/>
      <c r="E17" s="150"/>
      <c r="F17" s="55" t="s">
        <v>430</v>
      </c>
    </row>
    <row r="18" spans="4:6" ht="19.95" customHeight="1" x14ac:dyDescent="0.3">
      <c r="D18" s="149"/>
      <c r="E18" s="150"/>
      <c r="F18" s="55" t="s">
        <v>431</v>
      </c>
    </row>
    <row r="19" spans="4:6" ht="19.95" customHeight="1" x14ac:dyDescent="0.3">
      <c r="D19" s="149">
        <v>3</v>
      </c>
      <c r="E19" s="150" t="s">
        <v>432</v>
      </c>
    </row>
    <row r="20" spans="4:6" ht="19.95" customHeight="1" x14ac:dyDescent="0.3">
      <c r="D20" s="149"/>
      <c r="E20" s="150"/>
      <c r="F20" s="55" t="s">
        <v>441</v>
      </c>
    </row>
    <row r="21" spans="4:6" ht="19.95" customHeight="1" x14ac:dyDescent="0.3">
      <c r="D21" s="149"/>
      <c r="E21" s="150"/>
      <c r="F21" s="55" t="s">
        <v>457</v>
      </c>
    </row>
    <row r="22" spans="4:6" ht="19.95" customHeight="1" x14ac:dyDescent="0.3">
      <c r="D22" s="149"/>
      <c r="E22" s="150"/>
      <c r="F22" s="55" t="str">
        <f>"forms to the "&amp;Tables!$F$23&amp;" as intended.  The "&amp;Tables!$F$23&amp;" may host and distribute the unmodified Tool to prospective submitters for"</f>
        <v>forms to the County as intended.  The County may host and distribute the unmodified Tool to prospective submitters for</v>
      </c>
    </row>
    <row r="23" spans="4:6" ht="19.95" customHeight="1" x14ac:dyDescent="0.3">
      <c r="D23" s="149"/>
      <c r="E23" s="150"/>
      <c r="F23" s="55" t="s">
        <v>476</v>
      </c>
    </row>
    <row r="24" spans="4:6" ht="19.95" customHeight="1" x14ac:dyDescent="0.3">
      <c r="D24" s="149">
        <v>4</v>
      </c>
      <c r="E24" s="150" t="s">
        <v>433</v>
      </c>
    </row>
    <row r="25" spans="4:6" ht="19.95" customHeight="1" x14ac:dyDescent="0.3">
      <c r="D25" s="149"/>
      <c r="E25" s="150"/>
      <c r="F25" s="55" t="s">
        <v>442</v>
      </c>
    </row>
    <row r="26" spans="4:6" ht="19.95" customHeight="1" x14ac:dyDescent="0.3">
      <c r="D26" s="149"/>
      <c r="E26" s="150"/>
      <c r="F26" s="55" t="s">
        <v>458</v>
      </c>
    </row>
    <row r="27" spans="4:6" ht="19.95" customHeight="1" x14ac:dyDescent="0.3">
      <c r="D27" s="149"/>
      <c r="E27" s="150"/>
      <c r="F27" s="55" t="s">
        <v>459</v>
      </c>
    </row>
    <row r="28" spans="4:6" ht="19.95" customHeight="1" x14ac:dyDescent="0.3">
      <c r="D28" s="149">
        <v>5</v>
      </c>
      <c r="E28" s="150" t="s">
        <v>434</v>
      </c>
    </row>
    <row r="29" spans="4:6" ht="19.95" customHeight="1" x14ac:dyDescent="0.3">
      <c r="D29" s="149"/>
      <c r="E29" s="150"/>
      <c r="F29" s="55" t="str">
        <f>"Outputs and application materials generated with the Tool may be public records of "&amp;Tables!$F$39&amp;"; the Tool itself"</f>
        <v>Outputs and application materials generated with the Tool may be public records of Baldwin County; the Tool itself</v>
      </c>
    </row>
    <row r="30" spans="4:6" ht="19.95" customHeight="1" x14ac:dyDescent="0.3">
      <c r="D30" s="149"/>
      <c r="E30" s="150"/>
      <c r="F30" s="55" t="s">
        <v>460</v>
      </c>
    </row>
    <row r="31" spans="4:6" ht="19.95" customHeight="1" x14ac:dyDescent="0.3">
      <c r="D31" s="149">
        <v>6</v>
      </c>
      <c r="E31" s="150" t="s">
        <v>461</v>
      </c>
    </row>
    <row r="32" spans="4:6" ht="19.95" customHeight="1" x14ac:dyDescent="0.3">
      <c r="D32" s="149"/>
      <c r="E32" s="150"/>
      <c r="F32" s="55" t="str">
        <f>"The Tool is a convenience aid and does not constitute engineering, legal or compliance advice. The "&amp;Tables!$F$39&amp;"'s standards and"</f>
        <v>The Tool is a convenience aid and does not constitute engineering, legal or compliance advice. The Baldwin County's standards and</v>
      </c>
    </row>
    <row r="33" spans="4:6" ht="19.95" customHeight="1" x14ac:dyDescent="0.3">
      <c r="D33" s="149"/>
      <c r="E33" s="150"/>
      <c r="F33" s="55" t="s">
        <v>462</v>
      </c>
    </row>
    <row r="34" spans="4:6" ht="19.95" customHeight="1" x14ac:dyDescent="0.3">
      <c r="D34" s="149">
        <v>7</v>
      </c>
      <c r="E34" s="150" t="s">
        <v>435</v>
      </c>
    </row>
    <row r="35" spans="4:6" ht="19.95" customHeight="1" x14ac:dyDescent="0.3">
      <c r="D35" s="149"/>
      <c r="E35" s="150"/>
      <c r="F35" s="55" t="s">
        <v>463</v>
      </c>
    </row>
    <row r="36" spans="4:6" ht="19.95" customHeight="1" x14ac:dyDescent="0.3">
      <c r="D36" s="149"/>
      <c r="E36" s="150"/>
      <c r="F36" s="55" t="s">
        <v>477</v>
      </c>
    </row>
    <row r="37" spans="4:6" ht="19.95" customHeight="1" x14ac:dyDescent="0.3">
      <c r="D37" s="149"/>
      <c r="E37" s="150"/>
      <c r="F37" s="55" t="s">
        <v>443</v>
      </c>
    </row>
    <row r="38" spans="4:6" ht="19.95" customHeight="1" x14ac:dyDescent="0.3">
      <c r="D38" s="149">
        <v>8</v>
      </c>
      <c r="E38" s="150" t="s">
        <v>436</v>
      </c>
    </row>
    <row r="39" spans="4:6" ht="19.95" customHeight="1" x14ac:dyDescent="0.3">
      <c r="D39" s="149"/>
      <c r="E39" s="150"/>
      <c r="F39" s="55" t="s">
        <v>437</v>
      </c>
    </row>
    <row r="40" spans="4:6" ht="19.95" customHeight="1" x14ac:dyDescent="0.3">
      <c r="D40" s="149"/>
      <c r="E40" s="150"/>
      <c r="F40" s="55" t="s">
        <v>438</v>
      </c>
    </row>
    <row r="41" spans="4:6" ht="19.95" customHeight="1" x14ac:dyDescent="0.3">
      <c r="D41" s="149">
        <v>9</v>
      </c>
      <c r="E41" s="150" t="s">
        <v>464</v>
      </c>
    </row>
    <row r="42" spans="4:6" ht="19.95" customHeight="1" x14ac:dyDescent="0.3">
      <c r="D42" s="149"/>
      <c r="E42" s="150"/>
      <c r="F42" s="55" t="s">
        <v>465</v>
      </c>
    </row>
    <row r="43" spans="4:6" ht="19.95" customHeight="1" x14ac:dyDescent="0.3">
      <c r="D43" s="149">
        <v>10</v>
      </c>
      <c r="E43" s="150" t="s">
        <v>466</v>
      </c>
    </row>
    <row r="44" spans="4:6" ht="19.95" customHeight="1" x14ac:dyDescent="0.3">
      <c r="D44" s="149"/>
      <c r="E44" s="150"/>
      <c r="F44" s="55" t="s">
        <v>467</v>
      </c>
    </row>
    <row r="45" spans="4:6" ht="19.95" customHeight="1" x14ac:dyDescent="0.3">
      <c r="D45" s="149"/>
      <c r="E45" s="150"/>
      <c r="F45" s="55" t="s">
        <v>468</v>
      </c>
    </row>
    <row r="46" spans="4:6" ht="19.95" customHeight="1" x14ac:dyDescent="0.3">
      <c r="D46" s="149">
        <v>11</v>
      </c>
      <c r="E46" s="150" t="s">
        <v>469</v>
      </c>
    </row>
    <row r="47" spans="4:6" ht="19.95" customHeight="1" x14ac:dyDescent="0.3">
      <c r="D47" s="149"/>
      <c r="E47" s="150"/>
      <c r="F47" s="55" t="s">
        <v>470</v>
      </c>
    </row>
    <row r="48" spans="4:6" ht="19.95" customHeight="1" x14ac:dyDescent="0.3">
      <c r="D48" s="149"/>
      <c r="E48" s="150"/>
      <c r="F48" s="55" t="s">
        <v>471</v>
      </c>
    </row>
    <row r="49" spans="4:6" ht="19.95" customHeight="1" x14ac:dyDescent="0.3">
      <c r="D49" s="149"/>
      <c r="E49" s="150"/>
      <c r="F49" s="55" t="s">
        <v>472</v>
      </c>
    </row>
    <row r="50" spans="4:6" ht="19.95" customHeight="1" x14ac:dyDescent="0.3">
      <c r="D50" s="149"/>
      <c r="E50" s="150"/>
      <c r="F50" s="55" t="s">
        <v>473</v>
      </c>
    </row>
    <row r="51" spans="4:6" ht="19.95" customHeight="1" x14ac:dyDescent="0.3">
      <c r="D51" s="149">
        <v>12</v>
      </c>
      <c r="E51" s="150" t="s">
        <v>439</v>
      </c>
    </row>
    <row r="52" spans="4:6" ht="19.95" customHeight="1" x14ac:dyDescent="0.3">
      <c r="D52" s="149"/>
      <c r="E52" s="150"/>
      <c r="F52" s="55" t="s">
        <v>474</v>
      </c>
    </row>
    <row r="53" spans="4:6" ht="19.95" customHeight="1" x14ac:dyDescent="0.3">
      <c r="D53" s="149"/>
      <c r="E53" s="150"/>
    </row>
    <row r="54" spans="4:6" ht="19.95" customHeight="1" x14ac:dyDescent="0.3">
      <c r="D54" s="149"/>
      <c r="E54" s="150"/>
    </row>
    <row r="55" spans="4:6" ht="19.95" customHeight="1" x14ac:dyDescent="0.3">
      <c r="D55" s="149"/>
      <c r="E55" s="150"/>
    </row>
  </sheetData>
  <sheetProtection algorithmName="SHA-512" hashValue="86aiGEQJPP23AovYhzjUZ9gIiJdbUPun5Rd589qVmGK4iZyvYpImHCeZU/rX1XvYokFsyMbIHCAzlX43/tI0ew==" saltValue="5VrvMgFlElIw7ZX8T6aYfA==" spinCount="100000" sheet="1" objects="1" scenarios="1" selectLockedCells="1"/>
  <mergeCells count="3">
    <mergeCell ref="F3:H3"/>
    <mergeCell ref="O1:P1"/>
    <mergeCell ref="O2:P2"/>
  </mergeCells>
  <conditionalFormatting sqref="F2">
    <cfRule type="expression" dxfId="280" priority="1445">
      <formula>$A$2=2</formula>
    </cfRule>
  </conditionalFormatting>
  <conditionalFormatting sqref="F3:H3">
    <cfRule type="expression" dxfId="279" priority="1446">
      <formula>$A$3=2</formula>
    </cfRule>
    <cfRule type="expression" dxfId="278" priority="1447">
      <formula>$A$3=2</formula>
    </cfRule>
  </conditionalFormatting>
  <pageMargins left="0.2" right="0.2" top="0.5" bottom="0.25" header="0.3" footer="0.3"/>
  <pageSetup scale="6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E8D3736-A416-4CBD-8944-80A6382E9205}">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FF372-B532-449D-9FA5-65D10282E9F1}">
  <sheetPr codeName="Sheet4">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55" customWidth="1"/>
    <col min="2" max="2" width="5.77734375" style="54" customWidth="1"/>
    <col min="3" max="8" width="2.77734375" style="55" customWidth="1"/>
    <col min="9" max="10" width="8.88671875" style="55" customWidth="1"/>
    <col min="11" max="11" width="20.5546875" style="55" customWidth="1"/>
    <col min="12" max="16" width="8.88671875" style="55" customWidth="1"/>
    <col min="17" max="18" width="10.77734375" style="55" customWidth="1"/>
    <col min="19" max="22" width="8.88671875" style="55" customWidth="1"/>
    <col min="23" max="16384" width="8.88671875" style="55" hidden="1"/>
  </cols>
  <sheetData>
    <row r="1" spans="2:17" ht="19.95" customHeight="1" x14ac:dyDescent="0.3"/>
    <row r="2" spans="2:17" ht="19.95" customHeight="1" x14ac:dyDescent="0.3">
      <c r="B2" s="56" t="s">
        <v>60</v>
      </c>
    </row>
    <row r="3" spans="2:17" ht="4.95" customHeight="1" x14ac:dyDescent="0.3">
      <c r="B3" s="56"/>
    </row>
    <row r="4" spans="2:17" ht="19.95" customHeight="1" x14ac:dyDescent="0.3">
      <c r="B4" s="54">
        <v>1</v>
      </c>
      <c r="C4" s="167" t="s">
        <v>245</v>
      </c>
      <c r="D4" s="167"/>
      <c r="E4" s="167"/>
      <c r="F4" s="167"/>
      <c r="G4" s="167"/>
      <c r="H4" s="167"/>
      <c r="I4" s="167"/>
      <c r="J4" s="167"/>
      <c r="K4" s="167"/>
      <c r="L4" s="167"/>
      <c r="M4" s="167"/>
      <c r="N4" s="167"/>
      <c r="O4" s="167"/>
      <c r="P4" s="167"/>
      <c r="Q4" s="167"/>
    </row>
    <row r="5" spans="2:17" ht="19.95" customHeight="1" x14ac:dyDescent="0.3">
      <c r="C5" s="167"/>
      <c r="D5" s="167"/>
      <c r="E5" s="167"/>
      <c r="F5" s="167"/>
      <c r="G5" s="167"/>
      <c r="H5" s="167"/>
      <c r="I5" s="167"/>
      <c r="J5" s="167"/>
      <c r="K5" s="167"/>
      <c r="L5" s="167"/>
      <c r="M5" s="167"/>
      <c r="N5" s="167"/>
      <c r="O5" s="167"/>
      <c r="P5" s="167"/>
      <c r="Q5" s="167"/>
    </row>
    <row r="6" spans="2:17" ht="19.95" customHeight="1" x14ac:dyDescent="0.3">
      <c r="B6" s="54">
        <f>B4+1</f>
        <v>2</v>
      </c>
      <c r="C6" s="55" t="s">
        <v>61</v>
      </c>
    </row>
    <row r="7" spans="2:17" ht="19.95" customHeight="1" x14ac:dyDescent="0.3">
      <c r="C7" s="57"/>
      <c r="D7" s="57"/>
      <c r="E7" s="57"/>
      <c r="F7" s="57"/>
      <c r="I7" s="55" t="s">
        <v>59</v>
      </c>
    </row>
    <row r="8" spans="2:17" ht="10.050000000000001" customHeight="1" x14ac:dyDescent="0.3"/>
    <row r="9" spans="2:17" ht="15" customHeight="1" x14ac:dyDescent="0.3">
      <c r="C9" s="58"/>
      <c r="D9" s="58"/>
      <c r="E9" s="58"/>
      <c r="F9" s="58"/>
      <c r="I9" s="167" t="s">
        <v>203</v>
      </c>
      <c r="J9" s="167"/>
      <c r="K9" s="167"/>
      <c r="L9" s="167"/>
      <c r="M9" s="167"/>
      <c r="N9" s="167"/>
      <c r="O9" s="167"/>
      <c r="P9" s="167"/>
      <c r="Q9" s="167"/>
    </row>
    <row r="10" spans="2:17" ht="15" customHeight="1" x14ac:dyDescent="0.3">
      <c r="I10" s="167"/>
      <c r="J10" s="167"/>
      <c r="K10" s="167"/>
      <c r="L10" s="167"/>
      <c r="M10" s="167"/>
      <c r="N10" s="167"/>
      <c r="O10" s="167"/>
      <c r="P10" s="167"/>
      <c r="Q10" s="167"/>
    </row>
    <row r="11" spans="2:17" ht="10.050000000000001" customHeight="1" x14ac:dyDescent="0.3">
      <c r="I11" s="59"/>
      <c r="J11" s="59"/>
      <c r="K11" s="59"/>
      <c r="L11" s="59"/>
      <c r="M11" s="59"/>
      <c r="N11" s="59"/>
      <c r="O11" s="59"/>
      <c r="P11" s="59"/>
      <c r="Q11" s="59"/>
    </row>
    <row r="12" spans="2:17" ht="15" customHeight="1" x14ac:dyDescent="0.3">
      <c r="F12" s="48"/>
      <c r="I12" s="167" t="s">
        <v>253</v>
      </c>
      <c r="J12" s="167"/>
      <c r="K12" s="167"/>
      <c r="L12" s="167"/>
      <c r="M12" s="167"/>
      <c r="N12" s="167"/>
      <c r="O12" s="167"/>
      <c r="P12" s="167"/>
      <c r="Q12" s="167"/>
    </row>
    <row r="13" spans="2:17" ht="15" customHeight="1" x14ac:dyDescent="0.3">
      <c r="I13" s="167"/>
      <c r="J13" s="167"/>
      <c r="K13" s="167"/>
      <c r="L13" s="167"/>
      <c r="M13" s="167"/>
      <c r="N13" s="167"/>
      <c r="O13" s="167"/>
      <c r="P13" s="167"/>
      <c r="Q13" s="167"/>
    </row>
    <row r="14" spans="2:17" ht="15" customHeight="1" x14ac:dyDescent="0.3">
      <c r="I14" s="167"/>
      <c r="J14" s="167"/>
      <c r="K14" s="167"/>
      <c r="L14" s="167"/>
      <c r="M14" s="167"/>
      <c r="N14" s="167"/>
      <c r="O14" s="167"/>
      <c r="P14" s="167"/>
      <c r="Q14" s="167"/>
    </row>
    <row r="15" spans="2:17" ht="15" customHeight="1" x14ac:dyDescent="0.3">
      <c r="I15" s="167"/>
      <c r="J15" s="167"/>
      <c r="K15" s="167"/>
      <c r="L15" s="167"/>
      <c r="M15" s="167"/>
      <c r="N15" s="167"/>
      <c r="O15" s="167"/>
      <c r="P15" s="167"/>
      <c r="Q15" s="167"/>
    </row>
    <row r="16" spans="2:17" ht="10.050000000000001" customHeight="1" x14ac:dyDescent="0.3">
      <c r="I16" s="60"/>
      <c r="J16" s="60"/>
      <c r="K16" s="60"/>
      <c r="L16" s="60"/>
      <c r="M16" s="60"/>
      <c r="N16" s="60"/>
      <c r="O16" s="60"/>
      <c r="P16" s="60"/>
      <c r="Q16" s="60"/>
    </row>
    <row r="17" spans="3:17" ht="15" customHeight="1" x14ac:dyDescent="0.3">
      <c r="C17" s="48"/>
      <c r="D17" s="4" t="s">
        <v>118</v>
      </c>
      <c r="E17" s="4"/>
      <c r="F17" s="48"/>
      <c r="G17" s="4" t="s">
        <v>119</v>
      </c>
      <c r="I17" s="167" t="s">
        <v>162</v>
      </c>
      <c r="J17" s="167"/>
      <c r="K17" s="167"/>
      <c r="L17" s="167"/>
      <c r="M17" s="167"/>
      <c r="N17" s="167"/>
      <c r="O17" s="167"/>
      <c r="P17" s="167"/>
      <c r="Q17" s="167"/>
    </row>
    <row r="18" spans="3:17" ht="15" customHeight="1" x14ac:dyDescent="0.3">
      <c r="I18" s="167"/>
      <c r="J18" s="167"/>
      <c r="K18" s="167"/>
      <c r="L18" s="167"/>
      <c r="M18" s="167"/>
      <c r="N18" s="167"/>
      <c r="O18" s="167"/>
      <c r="P18" s="167"/>
      <c r="Q18" s="167"/>
    </row>
    <row r="19" spans="3:17" ht="10.050000000000001" customHeight="1" x14ac:dyDescent="0.3"/>
    <row r="20" spans="3:17" ht="15" customHeight="1" x14ac:dyDescent="0.3">
      <c r="C20" s="61"/>
      <c r="D20" s="61"/>
      <c r="E20" s="61"/>
      <c r="F20" s="61"/>
      <c r="I20" s="167" t="s">
        <v>198</v>
      </c>
      <c r="J20" s="167"/>
      <c r="K20" s="167"/>
      <c r="L20" s="167"/>
      <c r="M20" s="167"/>
      <c r="N20" s="167"/>
      <c r="O20" s="167"/>
      <c r="P20" s="167"/>
      <c r="Q20" s="167"/>
    </row>
    <row r="21" spans="3:17" ht="15" customHeight="1" x14ac:dyDescent="0.3">
      <c r="I21" s="167"/>
      <c r="J21" s="167"/>
      <c r="K21" s="167"/>
      <c r="L21" s="167"/>
      <c r="M21" s="167"/>
      <c r="N21" s="167"/>
      <c r="O21" s="167"/>
      <c r="P21" s="167"/>
      <c r="Q21" s="167"/>
    </row>
    <row r="22" spans="3:17" ht="15" customHeight="1" x14ac:dyDescent="0.3">
      <c r="I22" s="167"/>
      <c r="J22" s="167"/>
      <c r="K22" s="167"/>
      <c r="L22" s="167"/>
      <c r="M22" s="167"/>
      <c r="N22" s="167"/>
      <c r="O22" s="167"/>
      <c r="P22" s="167"/>
      <c r="Q22" s="167"/>
    </row>
    <row r="23" spans="3:17" ht="19.95" customHeight="1" x14ac:dyDescent="0.3">
      <c r="I23" s="167"/>
      <c r="J23" s="167"/>
      <c r="K23" s="167"/>
      <c r="L23" s="167"/>
      <c r="M23" s="167"/>
      <c r="N23" s="167"/>
      <c r="O23" s="167"/>
      <c r="P23" s="167"/>
      <c r="Q23" s="167"/>
    </row>
    <row r="24" spans="3:17" ht="10.050000000000001" customHeight="1" x14ac:dyDescent="0.3">
      <c r="I24" s="60"/>
      <c r="J24" s="60"/>
      <c r="K24" s="60"/>
      <c r="L24" s="60"/>
      <c r="M24" s="60"/>
      <c r="N24" s="60"/>
      <c r="O24" s="60"/>
      <c r="P24" s="60"/>
      <c r="Q24" s="60"/>
    </row>
    <row r="25" spans="3:17" ht="15" customHeight="1" x14ac:dyDescent="0.3">
      <c r="C25" s="62"/>
      <c r="D25" s="62"/>
      <c r="E25" s="62"/>
      <c r="F25" s="62"/>
      <c r="I25" s="167" t="s">
        <v>111</v>
      </c>
      <c r="J25" s="167"/>
      <c r="K25" s="167"/>
      <c r="L25" s="167"/>
      <c r="M25" s="167"/>
      <c r="N25" s="167"/>
      <c r="O25" s="167"/>
      <c r="P25" s="167"/>
      <c r="Q25" s="167"/>
    </row>
    <row r="26" spans="3:17" ht="15" customHeight="1" x14ac:dyDescent="0.3">
      <c r="I26" s="167"/>
      <c r="J26" s="167"/>
      <c r="K26" s="167"/>
      <c r="L26" s="167"/>
      <c r="M26" s="167"/>
      <c r="N26" s="167"/>
      <c r="O26" s="167"/>
      <c r="P26" s="167"/>
      <c r="Q26" s="167"/>
    </row>
    <row r="27" spans="3:17" ht="10.050000000000001" customHeight="1" x14ac:dyDescent="0.3"/>
    <row r="28" spans="3:17" ht="19.95" customHeight="1" x14ac:dyDescent="0.3">
      <c r="C28" s="63" t="s">
        <v>28</v>
      </c>
      <c r="D28" s="63"/>
      <c r="E28" s="63"/>
      <c r="F28" s="63"/>
      <c r="I28" s="55" t="s">
        <v>244</v>
      </c>
    </row>
    <row r="29" spans="3:17" ht="10.050000000000001" customHeight="1" x14ac:dyDescent="0.3"/>
    <row r="30" spans="3:17" ht="19.95" customHeight="1" x14ac:dyDescent="0.3">
      <c r="C30" s="9" t="s">
        <v>30</v>
      </c>
      <c r="D30" s="9"/>
      <c r="E30" s="9"/>
      <c r="F30" s="9"/>
      <c r="I30" s="55" t="s">
        <v>63</v>
      </c>
    </row>
    <row r="31" spans="3:17" ht="10.050000000000001" customHeight="1" x14ac:dyDescent="0.3"/>
    <row r="32" spans="3:17" ht="19.95" customHeight="1" x14ac:dyDescent="0.3">
      <c r="C32" s="9" t="s">
        <v>20</v>
      </c>
      <c r="D32" s="9"/>
      <c r="E32" s="9"/>
      <c r="F32" s="9"/>
      <c r="I32" s="55" t="s">
        <v>112</v>
      </c>
    </row>
    <row r="33" spans="2:17" ht="10.050000000000001" customHeight="1" x14ac:dyDescent="0.3"/>
    <row r="34" spans="2:17" ht="19.95" customHeight="1" x14ac:dyDescent="0.3">
      <c r="B34" s="54">
        <f>B6+1</f>
        <v>3</v>
      </c>
      <c r="C34" s="55" t="s">
        <v>163</v>
      </c>
    </row>
    <row r="35" spans="2:17" ht="19.95" customHeight="1" x14ac:dyDescent="0.3">
      <c r="B35" s="54">
        <f>B34+1</f>
        <v>4</v>
      </c>
      <c r="C35" s="167" t="s">
        <v>164</v>
      </c>
      <c r="D35" s="167"/>
      <c r="E35" s="167"/>
      <c r="F35" s="167"/>
      <c r="G35" s="167"/>
      <c r="H35" s="167"/>
      <c r="I35" s="167"/>
      <c r="J35" s="167"/>
      <c r="K35" s="167"/>
      <c r="L35" s="167"/>
      <c r="M35" s="167"/>
      <c r="N35" s="167"/>
      <c r="O35" s="167"/>
      <c r="P35" s="167"/>
      <c r="Q35" s="167"/>
    </row>
    <row r="36" spans="2:17" ht="15" customHeight="1" x14ac:dyDescent="0.3">
      <c r="C36" s="167"/>
      <c r="D36" s="167"/>
      <c r="E36" s="167"/>
      <c r="F36" s="167"/>
      <c r="G36" s="167"/>
      <c r="H36" s="167"/>
      <c r="I36" s="167"/>
      <c r="J36" s="167"/>
      <c r="K36" s="167"/>
      <c r="L36" s="167"/>
      <c r="M36" s="167"/>
      <c r="N36" s="167"/>
      <c r="O36" s="167"/>
      <c r="P36" s="167"/>
      <c r="Q36" s="167"/>
    </row>
    <row r="37" spans="2:17" ht="19.95" customHeight="1" x14ac:dyDescent="0.3">
      <c r="B37" s="54">
        <v>5</v>
      </c>
      <c r="C37" s="167" t="s">
        <v>165</v>
      </c>
      <c r="D37" s="167"/>
      <c r="E37" s="167"/>
      <c r="F37" s="167"/>
      <c r="G37" s="167"/>
      <c r="H37" s="167"/>
      <c r="I37" s="167"/>
      <c r="J37" s="167"/>
      <c r="K37" s="167"/>
      <c r="L37" s="167"/>
      <c r="M37" s="167"/>
      <c r="N37" s="167"/>
      <c r="O37" s="167"/>
      <c r="P37" s="167"/>
      <c r="Q37" s="167"/>
    </row>
    <row r="38" spans="2:17" ht="19.95" customHeight="1" x14ac:dyDescent="0.3">
      <c r="C38" s="167"/>
      <c r="D38" s="167"/>
      <c r="E38" s="167"/>
      <c r="F38" s="167"/>
      <c r="G38" s="167"/>
      <c r="H38" s="167"/>
      <c r="I38" s="167"/>
      <c r="J38" s="167"/>
      <c r="K38" s="167"/>
      <c r="L38" s="167"/>
      <c r="M38" s="167"/>
      <c r="N38" s="167"/>
      <c r="O38" s="167"/>
      <c r="P38" s="167"/>
      <c r="Q38" s="167"/>
    </row>
    <row r="39" spans="2:17" ht="12" customHeight="1" x14ac:dyDescent="0.3">
      <c r="C39" s="167"/>
      <c r="D39" s="167"/>
      <c r="E39" s="167"/>
      <c r="F39" s="167"/>
      <c r="G39" s="167"/>
      <c r="H39" s="167"/>
      <c r="I39" s="167"/>
      <c r="J39" s="167"/>
      <c r="K39" s="167"/>
      <c r="L39" s="167"/>
      <c r="M39" s="167"/>
      <c r="N39" s="167"/>
      <c r="O39" s="167"/>
      <c r="P39" s="167"/>
      <c r="Q39" s="167"/>
    </row>
    <row r="40" spans="2:17" ht="19.95" customHeight="1" x14ac:dyDescent="0.3">
      <c r="B40" s="54">
        <v>6</v>
      </c>
      <c r="C40" s="55" t="s">
        <v>193</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ul6IvcGrrjE7Hx8p4b+aVtQ2/gPUG2tK5wiPRMN3OAQfOLZV4zB5seOmXM4wolxFCvRfqICcbayXJ3N9gAcJ/Q==" saltValue="2INk8RfAGBt9u9KAFK6m7Q=="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277" priority="3">
      <formula>ISBLANK(C17)</formula>
    </cfRule>
  </conditionalFormatting>
  <conditionalFormatting sqref="C9:F9">
    <cfRule type="expression" dxfId="276" priority="5">
      <formula>ISBLANK(C9)</formula>
    </cfRule>
  </conditionalFormatting>
  <conditionalFormatting sqref="F12">
    <cfRule type="expression" dxfId="275" priority="4">
      <formula>ISBLANK(F12)</formula>
    </cfRule>
  </conditionalFormatting>
  <conditionalFormatting sqref="F17">
    <cfRule type="expression" dxfId="274" priority="2">
      <formula>ISBLANK(F17)</formula>
    </cfRule>
  </conditionalFormatting>
  <pageMargins left="0.2" right="0.2" top="0.5" bottom="0.25" header="0.3" footer="0.3"/>
  <pageSetup scale="8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F205"/>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4" customWidth="1"/>
    <col min="2" max="37" width="2.77734375" style="4" customWidth="1"/>
    <col min="38" max="38" width="10.33203125" style="42" hidden="1" customWidth="1"/>
    <col min="39" max="39" width="11" style="42" hidden="1" customWidth="1"/>
    <col min="40" max="42" width="9.21875" style="42" hidden="1" customWidth="1"/>
    <col min="43" max="43" width="8.77734375" style="42" hidden="1" customWidth="1"/>
    <col min="44" max="44" width="11.44140625" style="42" hidden="1" customWidth="1"/>
    <col min="45" max="45" width="20" style="42" hidden="1" customWidth="1"/>
    <col min="46" max="46" width="8.77734375" style="42" hidden="1" customWidth="1"/>
    <col min="47" max="47" width="2.77734375" style="4" customWidth="1"/>
    <col min="48" max="48" width="3.77734375" style="4" customWidth="1"/>
    <col min="49" max="84" width="2.77734375" style="4" customWidth="1"/>
    <col min="85" max="16384" width="8.88671875" style="4" hidden="1"/>
  </cols>
  <sheetData>
    <row r="1" spans="2:84" ht="15" customHeight="1" x14ac:dyDescent="0.3">
      <c r="V1" s="22"/>
      <c r="W1" s="188" t="s">
        <v>292</v>
      </c>
      <c r="X1" s="188"/>
      <c r="Y1" s="188"/>
      <c r="Z1" s="188"/>
      <c r="AA1" s="188"/>
      <c r="AB1" s="188"/>
      <c r="AC1" s="188"/>
      <c r="AD1" s="188"/>
      <c r="AE1" s="188"/>
      <c r="AF1" s="188"/>
      <c r="AG1" s="188"/>
      <c r="AH1" s="188"/>
      <c r="AI1" s="188"/>
      <c r="AJ1" s="188"/>
      <c r="AK1" s="188"/>
      <c r="AL1" s="43"/>
      <c r="AM1" s="43"/>
      <c r="AN1" s="43"/>
      <c r="AO1" s="43"/>
      <c r="AP1" s="43"/>
      <c r="AQ1" s="43"/>
      <c r="AR1" s="43"/>
      <c r="AS1" s="43"/>
      <c r="AT1" s="43"/>
      <c r="BK1" s="22"/>
      <c r="BL1" s="22"/>
      <c r="BM1" s="22"/>
      <c r="BN1" s="22"/>
      <c r="BO1" s="188" t="str">
        <f>W1</f>
        <v>Form 2A.1 - Detention Pond
Design Form</v>
      </c>
      <c r="BP1" s="188"/>
      <c r="BQ1" s="188"/>
      <c r="BR1" s="188"/>
      <c r="BS1" s="188"/>
      <c r="BT1" s="188"/>
      <c r="BU1" s="188"/>
      <c r="BV1" s="188"/>
      <c r="BW1" s="188"/>
      <c r="BX1" s="188"/>
      <c r="BY1" s="188"/>
      <c r="BZ1" s="188"/>
      <c r="CA1" s="188"/>
      <c r="CB1" s="188"/>
      <c r="CC1" s="188"/>
      <c r="CD1" s="11"/>
      <c r="CE1" s="11"/>
    </row>
    <row r="2" spans="2:84" ht="15" customHeight="1" x14ac:dyDescent="0.3">
      <c r="K2" s="5"/>
      <c r="Q2" s="5"/>
      <c r="R2" s="5"/>
      <c r="S2" s="5"/>
      <c r="T2" s="5"/>
      <c r="U2" s="22"/>
      <c r="V2" s="22"/>
      <c r="W2" s="188"/>
      <c r="X2" s="188"/>
      <c r="Y2" s="188"/>
      <c r="Z2" s="188"/>
      <c r="AA2" s="188"/>
      <c r="AB2" s="188"/>
      <c r="AC2" s="188"/>
      <c r="AD2" s="188"/>
      <c r="AE2" s="188"/>
      <c r="AF2" s="188"/>
      <c r="AG2" s="188"/>
      <c r="AH2" s="188"/>
      <c r="AI2" s="188"/>
      <c r="AJ2" s="188"/>
      <c r="AK2" s="188"/>
      <c r="AL2" s="43"/>
      <c r="AM2" s="43"/>
      <c r="AN2" s="43"/>
      <c r="AO2" s="43"/>
      <c r="AP2" s="43"/>
      <c r="AQ2" s="43"/>
      <c r="AR2" s="43"/>
      <c r="AS2" s="43"/>
      <c r="AT2" s="43"/>
      <c r="BJ2" s="22"/>
      <c r="BK2" s="22"/>
      <c r="BL2" s="22"/>
      <c r="BM2" s="22"/>
      <c r="BN2" s="22"/>
      <c r="BO2" s="188"/>
      <c r="BP2" s="188"/>
      <c r="BQ2" s="188"/>
      <c r="BR2" s="188"/>
      <c r="BS2" s="188"/>
      <c r="BT2" s="188"/>
      <c r="BU2" s="188"/>
      <c r="BV2" s="188"/>
      <c r="BW2" s="188"/>
      <c r="BX2" s="188"/>
      <c r="BY2" s="188"/>
      <c r="BZ2" s="188"/>
      <c r="CA2" s="188"/>
      <c r="CB2" s="188"/>
      <c r="CC2" s="188"/>
      <c r="CD2" s="11"/>
      <c r="CE2" s="11"/>
    </row>
    <row r="3" spans="2:84" ht="15" customHeight="1" x14ac:dyDescent="0.3">
      <c r="K3" s="5"/>
      <c r="L3" s="5"/>
      <c r="M3" s="5"/>
      <c r="N3" s="5"/>
      <c r="O3" s="5"/>
      <c r="P3" s="5"/>
      <c r="Q3" s="5"/>
      <c r="R3" s="5"/>
      <c r="S3" s="5"/>
      <c r="T3" s="5"/>
      <c r="U3" s="22"/>
      <c r="V3" s="22"/>
      <c r="W3" s="188"/>
      <c r="X3" s="188"/>
      <c r="Y3" s="188"/>
      <c r="Z3" s="188"/>
      <c r="AA3" s="188"/>
      <c r="AB3" s="188"/>
      <c r="AC3" s="188"/>
      <c r="AD3" s="188"/>
      <c r="AE3" s="188"/>
      <c r="AF3" s="188"/>
      <c r="AG3" s="188"/>
      <c r="AH3" s="188"/>
      <c r="AI3" s="188"/>
      <c r="AJ3" s="188"/>
      <c r="AK3" s="188"/>
      <c r="AL3" s="43"/>
      <c r="AM3" s="43"/>
      <c r="AN3" s="43"/>
      <c r="AO3" s="43"/>
      <c r="AP3" s="43"/>
      <c r="AQ3" s="43"/>
      <c r="AR3" s="43"/>
      <c r="AS3" s="43"/>
      <c r="AT3" s="43"/>
      <c r="BJ3" s="22"/>
      <c r="BK3" s="22"/>
      <c r="BL3" s="22"/>
      <c r="BM3" s="22"/>
      <c r="BN3" s="22"/>
      <c r="BO3" s="188"/>
      <c r="BP3" s="188"/>
      <c r="BQ3" s="188"/>
      <c r="BR3" s="188"/>
      <c r="BS3" s="188"/>
      <c r="BT3" s="188"/>
      <c r="BU3" s="188"/>
      <c r="BV3" s="188"/>
      <c r="BW3" s="188"/>
      <c r="BX3" s="188"/>
      <c r="BY3" s="188"/>
      <c r="BZ3" s="188"/>
      <c r="CA3" s="188"/>
      <c r="CB3" s="188"/>
      <c r="CC3" s="188"/>
      <c r="CD3" s="11"/>
      <c r="CE3" s="11"/>
    </row>
    <row r="4" spans="2:84" ht="15" customHeight="1" x14ac:dyDescent="0.3">
      <c r="K4" s="5"/>
      <c r="L4" s="5"/>
      <c r="M4" s="5"/>
      <c r="N4" s="5"/>
      <c r="O4" s="5"/>
      <c r="P4" s="5"/>
      <c r="Q4" s="5"/>
      <c r="R4" s="5"/>
      <c r="S4" s="5"/>
      <c r="T4" s="5"/>
      <c r="U4" s="22"/>
      <c r="V4" s="22"/>
      <c r="W4" s="188"/>
      <c r="X4" s="188"/>
      <c r="Y4" s="188"/>
      <c r="Z4" s="188"/>
      <c r="AA4" s="188"/>
      <c r="AB4" s="188"/>
      <c r="AC4" s="188"/>
      <c r="AD4" s="188"/>
      <c r="AE4" s="188"/>
      <c r="AF4" s="188"/>
      <c r="AG4" s="188"/>
      <c r="AH4" s="188"/>
      <c r="AI4" s="188"/>
      <c r="AJ4" s="188"/>
      <c r="AK4" s="188"/>
      <c r="AL4" s="43"/>
      <c r="AM4" s="43"/>
      <c r="AN4" s="43"/>
      <c r="AO4" s="43"/>
      <c r="AP4" s="43"/>
      <c r="AQ4" s="43"/>
      <c r="AR4" s="43"/>
      <c r="AS4" s="43"/>
      <c r="AT4" s="43"/>
      <c r="BJ4" s="22"/>
      <c r="BK4" s="22"/>
      <c r="BL4" s="22"/>
      <c r="BM4" s="22"/>
      <c r="BN4" s="22"/>
      <c r="BO4" s="188"/>
      <c r="BP4" s="188"/>
      <c r="BQ4" s="188"/>
      <c r="BR4" s="188"/>
      <c r="BS4" s="188"/>
      <c r="BT4" s="188"/>
      <c r="BU4" s="188"/>
      <c r="BV4" s="188"/>
      <c r="BW4" s="188"/>
      <c r="BX4" s="188"/>
      <c r="BY4" s="188"/>
      <c r="BZ4" s="188"/>
      <c r="CA4" s="188"/>
      <c r="CB4" s="188"/>
      <c r="CC4" s="188"/>
      <c r="CD4" s="11"/>
      <c r="CE4" s="11"/>
    </row>
    <row r="5" spans="2:84" ht="4.95" customHeight="1" x14ac:dyDescent="0.3">
      <c r="K5" s="5"/>
      <c r="L5" s="5"/>
      <c r="M5" s="5"/>
      <c r="N5" s="5"/>
      <c r="O5" s="5"/>
      <c r="P5" s="5"/>
      <c r="Q5" s="5"/>
      <c r="R5" s="5"/>
      <c r="S5" s="5"/>
      <c r="T5" s="5"/>
      <c r="U5" s="22"/>
      <c r="V5" s="22"/>
      <c r="W5" s="11"/>
      <c r="X5" s="11"/>
      <c r="Y5" s="11"/>
      <c r="Z5" s="11"/>
      <c r="AA5" s="11"/>
      <c r="AB5" s="11"/>
      <c r="AC5" s="11"/>
      <c r="AD5" s="11"/>
      <c r="AE5" s="11"/>
      <c r="AF5" s="11"/>
      <c r="AG5" s="11"/>
      <c r="AH5" s="11"/>
      <c r="AI5" s="11"/>
      <c r="AJ5" s="11"/>
      <c r="AK5" s="11"/>
      <c r="AL5" s="43"/>
      <c r="AM5" s="43"/>
      <c r="AN5" s="43"/>
      <c r="AO5" s="43"/>
      <c r="AP5" s="43"/>
      <c r="AQ5" s="43"/>
      <c r="AR5" s="43"/>
      <c r="AS5" s="43"/>
      <c r="AT5" s="43"/>
      <c r="BJ5" s="11"/>
      <c r="BK5" s="11"/>
      <c r="BL5" s="11"/>
      <c r="BM5" s="11"/>
      <c r="BN5" s="11"/>
      <c r="BO5" s="11"/>
      <c r="BP5" s="11"/>
      <c r="BQ5" s="11"/>
      <c r="BR5" s="11"/>
      <c r="BS5" s="11"/>
      <c r="BT5" s="11"/>
      <c r="BU5" s="11"/>
      <c r="BV5" s="11"/>
      <c r="BW5" s="11"/>
      <c r="BX5" s="11"/>
      <c r="BY5" s="11"/>
      <c r="BZ5" s="11"/>
      <c r="CA5" s="11"/>
      <c r="CB5" s="11"/>
      <c r="CC5" s="11"/>
      <c r="CD5" s="11"/>
      <c r="CE5" s="11"/>
    </row>
    <row r="6" spans="2:84" ht="15" customHeight="1" x14ac:dyDescent="0.3">
      <c r="B6" s="1" t="s">
        <v>0</v>
      </c>
      <c r="C6" s="1"/>
      <c r="D6" s="1"/>
      <c r="E6" s="1"/>
      <c r="F6" s="1"/>
      <c r="G6" s="1"/>
      <c r="H6" s="1"/>
      <c r="I6" s="1"/>
      <c r="J6" s="1"/>
      <c r="AB6" s="2" t="s">
        <v>344</v>
      </c>
      <c r="AC6" s="168"/>
      <c r="AD6" s="168"/>
      <c r="AE6" s="168"/>
      <c r="AF6" s="168"/>
      <c r="AG6" s="168"/>
      <c r="AH6" s="168"/>
      <c r="AI6" s="168"/>
      <c r="AJ6" s="168"/>
      <c r="AL6" s="43"/>
      <c r="AM6" s="43"/>
      <c r="BJ6"/>
      <c r="BK6"/>
      <c r="BL6"/>
      <c r="BM6"/>
      <c r="BN6"/>
      <c r="BO6"/>
      <c r="BP6"/>
      <c r="BQ6"/>
      <c r="BR6"/>
      <c r="BS6"/>
      <c r="BT6"/>
      <c r="BU6"/>
      <c r="BV6"/>
      <c r="BW6"/>
      <c r="BX6"/>
      <c r="BY6"/>
      <c r="BZ6"/>
      <c r="CA6"/>
      <c r="CB6"/>
      <c r="CC6"/>
      <c r="CD6"/>
      <c r="CE6"/>
      <c r="CF6"/>
    </row>
    <row r="7" spans="2:84" ht="15" customHeight="1" x14ac:dyDescent="0.3">
      <c r="C7" s="2"/>
      <c r="D7" s="2" t="s">
        <v>129</v>
      </c>
      <c r="E7" s="199"/>
      <c r="F7" s="199"/>
      <c r="G7" s="199"/>
      <c r="H7" s="199"/>
      <c r="I7" s="199"/>
      <c r="J7" s="199"/>
      <c r="K7" s="199"/>
      <c r="L7" s="199"/>
      <c r="M7" s="199"/>
      <c r="N7" s="199"/>
      <c r="O7" s="199"/>
      <c r="P7" s="199"/>
      <c r="Q7" s="199"/>
      <c r="R7" s="199"/>
      <c r="S7" s="199"/>
      <c r="T7" s="199"/>
      <c r="U7" s="199"/>
      <c r="V7" s="199"/>
      <c r="W7" s="199"/>
      <c r="X7" s="199"/>
      <c r="AD7" s="2" t="s">
        <v>155</v>
      </c>
      <c r="AE7" s="194"/>
      <c r="AF7" s="194"/>
      <c r="AG7" s="194"/>
      <c r="AH7" s="194"/>
      <c r="AI7" s="194"/>
      <c r="AJ7" s="194"/>
      <c r="AV7" s="210" t="s">
        <v>62</v>
      </c>
      <c r="AW7" s="210"/>
      <c r="AX7" s="210"/>
      <c r="AY7" s="210"/>
      <c r="AZ7" s="210"/>
      <c r="BA7" s="210"/>
      <c r="BB7" s="210"/>
      <c r="BC7" s="210"/>
      <c r="BD7" s="210"/>
      <c r="BE7" s="210"/>
      <c r="BF7" s="210"/>
      <c r="BG7" s="210"/>
      <c r="BH7" s="210"/>
      <c r="BI7" s="210"/>
      <c r="BJ7" s="38"/>
      <c r="BK7" s="38"/>
      <c r="BL7" s="38"/>
      <c r="BM7" s="38"/>
      <c r="BN7" s="38"/>
      <c r="BO7" s="38"/>
      <c r="BP7" s="38"/>
      <c r="BQ7" s="38"/>
      <c r="BR7" s="38"/>
      <c r="BS7" s="38"/>
      <c r="BT7" s="38"/>
      <c r="BU7" s="38"/>
      <c r="BV7" s="38"/>
      <c r="BW7" s="38"/>
      <c r="BX7" s="38"/>
      <c r="BY7" s="38"/>
      <c r="BZ7" s="38"/>
      <c r="CA7" s="38"/>
      <c r="CB7" s="38"/>
      <c r="CC7" s="38"/>
      <c r="CD7" s="38"/>
      <c r="CE7" s="38"/>
      <c r="CF7" s="38"/>
    </row>
    <row r="8" spans="2:84" ht="15" customHeight="1" x14ac:dyDescent="0.3">
      <c r="C8" s="2"/>
      <c r="D8" s="2" t="s">
        <v>130</v>
      </c>
      <c r="E8" s="196"/>
      <c r="F8" s="196"/>
      <c r="G8" s="196"/>
      <c r="H8" s="196"/>
      <c r="I8" s="196"/>
      <c r="J8" s="196"/>
      <c r="K8" s="196"/>
      <c r="L8" s="196"/>
      <c r="M8" s="196"/>
      <c r="N8" s="196"/>
      <c r="O8" s="196"/>
      <c r="P8" s="196"/>
      <c r="Q8" s="196"/>
      <c r="R8" s="196"/>
      <c r="S8" s="196"/>
      <c r="T8" s="196"/>
      <c r="U8" s="196"/>
      <c r="V8" s="196"/>
      <c r="W8" s="196"/>
      <c r="X8" s="196"/>
      <c r="AD8" s="2" t="s">
        <v>156</v>
      </c>
      <c r="AE8" s="198"/>
      <c r="AF8" s="198"/>
      <c r="AG8" s="198"/>
      <c r="AH8" s="198"/>
      <c r="AI8" s="198"/>
      <c r="AJ8" s="198"/>
      <c r="AV8" s="210"/>
      <c r="AW8" s="210"/>
      <c r="AX8" s="210"/>
      <c r="AY8" s="210"/>
      <c r="AZ8" s="210"/>
      <c r="BA8" s="210"/>
      <c r="BB8" s="210"/>
      <c r="BC8" s="210"/>
      <c r="BD8" s="210"/>
      <c r="BE8" s="210"/>
      <c r="BF8" s="210"/>
      <c r="BG8" s="210"/>
      <c r="BH8" s="210"/>
      <c r="BI8" s="210"/>
      <c r="BJ8" s="36"/>
      <c r="BK8" s="36"/>
      <c r="BL8" s="36"/>
      <c r="BM8" s="36"/>
      <c r="BN8" s="36"/>
      <c r="BO8" s="36"/>
      <c r="BP8" s="36"/>
      <c r="BQ8" s="36"/>
      <c r="BR8" s="36"/>
      <c r="BS8" s="36"/>
      <c r="BT8" s="36"/>
      <c r="BU8" s="36"/>
      <c r="BV8" s="36"/>
      <c r="BW8" s="36"/>
      <c r="BX8" s="36"/>
      <c r="BY8" s="36"/>
      <c r="BZ8" s="36"/>
      <c r="CA8" s="36"/>
      <c r="CB8" s="36"/>
      <c r="CC8" s="36"/>
      <c r="CD8" s="36"/>
      <c r="CE8" s="36"/>
      <c r="CF8" s="36"/>
    </row>
    <row r="9" spans="2:84" ht="15" customHeight="1" x14ac:dyDescent="0.3">
      <c r="B9" s="2"/>
      <c r="C9" s="2"/>
      <c r="D9" s="2"/>
      <c r="E9" s="2"/>
      <c r="F9" s="2"/>
      <c r="G9" s="2"/>
      <c r="H9" s="2"/>
      <c r="I9" s="2"/>
      <c r="J9" s="2"/>
      <c r="K9" s="2"/>
      <c r="L9" s="2"/>
      <c r="M9" s="2"/>
      <c r="N9" s="2"/>
      <c r="O9" s="2"/>
      <c r="P9" s="2"/>
      <c r="Q9" s="2"/>
      <c r="R9" s="2"/>
      <c r="S9" s="2"/>
      <c r="T9" s="2"/>
      <c r="U9" s="2"/>
      <c r="V9" s="2"/>
      <c r="W9" s="2"/>
      <c r="X9" s="2"/>
      <c r="Y9" s="2"/>
      <c r="Z9" s="2"/>
      <c r="AI9" s="2"/>
      <c r="AJ9" s="2"/>
      <c r="AK9" s="2"/>
      <c r="AL9" s="44"/>
      <c r="AM9" s="44"/>
      <c r="AN9" s="44"/>
      <c r="AO9" s="44"/>
      <c r="AP9" s="44"/>
      <c r="AQ9" s="44"/>
      <c r="AR9" s="44"/>
      <c r="AS9" s="44"/>
      <c r="AT9" s="44"/>
      <c r="AV9" s="21" t="s">
        <v>113</v>
      </c>
      <c r="BH9" s="36"/>
      <c r="BI9" s="36"/>
      <c r="BJ9" s="36"/>
      <c r="BK9" s="36"/>
      <c r="BL9" s="36"/>
      <c r="BM9" s="36"/>
      <c r="BN9" s="36"/>
      <c r="BO9" s="36"/>
      <c r="BP9" s="36"/>
      <c r="BQ9" s="36"/>
      <c r="BR9" s="36"/>
      <c r="BS9" s="36"/>
      <c r="BT9" s="36"/>
      <c r="BU9" s="36"/>
      <c r="BV9" s="36"/>
      <c r="BW9" s="36"/>
      <c r="BX9" s="36"/>
      <c r="BY9" s="36"/>
      <c r="BZ9" s="36"/>
      <c r="CA9" s="36"/>
      <c r="CB9" s="36"/>
      <c r="CC9" s="36"/>
      <c r="CD9" s="36"/>
      <c r="CE9" s="36"/>
      <c r="CF9" s="36"/>
    </row>
    <row r="10" spans="2:84" ht="15" customHeight="1" x14ac:dyDescent="0.3">
      <c r="C10" s="41"/>
      <c r="D10" s="41"/>
      <c r="E10" s="2" t="s">
        <v>490</v>
      </c>
      <c r="F10" s="156"/>
      <c r="G10" s="4" t="s">
        <v>124</v>
      </c>
      <c r="M10" s="156"/>
      <c r="N10" s="4" t="s">
        <v>125</v>
      </c>
      <c r="T10" s="156"/>
      <c r="U10" s="4" t="s">
        <v>126</v>
      </c>
      <c r="AB10" s="156"/>
      <c r="AC10" s="4" t="str">
        <f>" "&amp;Tables!F37</f>
        <v xml:space="preserve"> Drainage Rights</v>
      </c>
      <c r="AV10" s="47">
        <v>1</v>
      </c>
      <c r="AW10" s="4" t="s">
        <v>272</v>
      </c>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row>
    <row r="11" spans="2:84" ht="4.95" customHeight="1" x14ac:dyDescent="0.3">
      <c r="F11" s="2"/>
      <c r="G11" s="2"/>
      <c r="H11" s="2"/>
      <c r="I11" s="2"/>
      <c r="J11" s="2"/>
      <c r="AV11" s="47"/>
    </row>
    <row r="12" spans="2:84" ht="15" customHeight="1" x14ac:dyDescent="0.3">
      <c r="F12" s="156"/>
      <c r="G12" s="4" t="s">
        <v>491</v>
      </c>
      <c r="H12" s="2"/>
      <c r="I12" s="2"/>
      <c r="J12" s="2"/>
      <c r="T12" s="156"/>
      <c r="U12" s="4" t="s">
        <v>489</v>
      </c>
      <c r="AV12" s="47"/>
      <c r="AW12" s="4" t="s">
        <v>387</v>
      </c>
    </row>
    <row r="13" spans="2:84" ht="15" customHeight="1" x14ac:dyDescent="0.3">
      <c r="F13" s="2"/>
      <c r="G13" s="4" t="s">
        <v>492</v>
      </c>
      <c r="H13" s="2"/>
      <c r="I13" s="2"/>
      <c r="J13" s="2"/>
      <c r="AV13" s="47">
        <f>AV10+1</f>
        <v>2</v>
      </c>
      <c r="AW13" s="41" t="s">
        <v>388</v>
      </c>
    </row>
    <row r="14" spans="2:84" ht="14.55" customHeight="1" x14ac:dyDescent="0.3">
      <c r="F14" s="2" t="s">
        <v>328</v>
      </c>
      <c r="G14" s="156"/>
      <c r="H14" s="41" t="s">
        <v>287</v>
      </c>
      <c r="J14" s="156"/>
      <c r="K14" s="41" t="s">
        <v>288</v>
      </c>
      <c r="Z14" s="2" t="s">
        <v>204</v>
      </c>
      <c r="AA14" s="173"/>
      <c r="AB14" s="173"/>
      <c r="AC14" s="173"/>
      <c r="AD14" s="173"/>
      <c r="AE14" s="189" t="str">
        <f>IF($AM$16=0,"Units?",IF($AM$16=1,"ac",IF($AM$16=2,"sq-ft","Error")))</f>
        <v>Units?</v>
      </c>
      <c r="AF14" s="189"/>
      <c r="AL14" s="87">
        <f>IF(AND(ISBLANK(G14),ISBLANK(J14)),1,2)</f>
        <v>1</v>
      </c>
      <c r="AM14" s="87">
        <f>IF(ISBLANK(G14),0,1)</f>
        <v>0</v>
      </c>
      <c r="AO14" s="44" t="s">
        <v>329</v>
      </c>
      <c r="AP14" s="112">
        <f>IF($AM$16=2,AA15/43560,AA15)</f>
        <v>0</v>
      </c>
      <c r="AQ14" s="42" t="s">
        <v>330</v>
      </c>
      <c r="AV14" s="47">
        <f>AV13+1</f>
        <v>3</v>
      </c>
      <c r="AW14" s="4" t="s">
        <v>285</v>
      </c>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row>
    <row r="15" spans="2:84" ht="14.55" customHeight="1" x14ac:dyDescent="0.3">
      <c r="B15" s="4" t="s">
        <v>2</v>
      </c>
      <c r="Z15" s="2" t="s">
        <v>211</v>
      </c>
      <c r="AA15" s="173"/>
      <c r="AB15" s="173"/>
      <c r="AC15" s="173"/>
      <c r="AD15" s="173"/>
      <c r="AE15" s="189" t="str">
        <f>IF($AM$16=0,"Units?",IF($AM$16=1,"ac",IF($AM$16=2,"sq-ft","Error")))</f>
        <v>Units?</v>
      </c>
      <c r="AF15" s="189"/>
      <c r="AM15" s="87">
        <f>IF(ISBLANK(J14),0,2)</f>
        <v>0</v>
      </c>
      <c r="AN15" s="44"/>
      <c r="AO15" s="44" t="s">
        <v>331</v>
      </c>
      <c r="AP15" s="112">
        <f>IF($AM$16=2,J21/43560,J21)</f>
        <v>0</v>
      </c>
      <c r="AQ15" s="42" t="s">
        <v>330</v>
      </c>
      <c r="AW15" s="4" t="s">
        <v>389</v>
      </c>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row>
    <row r="16" spans="2:84" ht="14.55" customHeight="1" x14ac:dyDescent="0.3">
      <c r="G16" s="2"/>
      <c r="H16" s="2"/>
      <c r="I16" s="2" t="s">
        <v>205</v>
      </c>
      <c r="J16" s="173"/>
      <c r="K16" s="173"/>
      <c r="L16" s="173"/>
      <c r="M16" s="173"/>
      <c r="N16" s="189" t="str">
        <f t="shared" ref="N16:N21" si="0">IF($AM$16=0,"Units?",IF($AM$16=1,"ac",IF($AM$16=2,"sq-ft","Error")))</f>
        <v>Units?</v>
      </c>
      <c r="O16" s="189"/>
      <c r="S16" s="4" t="s">
        <v>48</v>
      </c>
      <c r="AM16" s="87">
        <f>SUM(AM14:AM15)</f>
        <v>0</v>
      </c>
      <c r="AN16" s="42" t="s">
        <v>332</v>
      </c>
      <c r="AO16" s="44" t="s">
        <v>212</v>
      </c>
      <c r="AP16" s="112">
        <f>AP15-AP14</f>
        <v>0</v>
      </c>
      <c r="AQ16" s="42" t="s">
        <v>330</v>
      </c>
      <c r="AV16" s="47">
        <f>AV14+1</f>
        <v>4</v>
      </c>
      <c r="AW16" s="4" t="s">
        <v>510</v>
      </c>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row>
    <row r="17" spans="2:84" ht="14.55" customHeight="1" x14ac:dyDescent="0.3">
      <c r="G17" s="2"/>
      <c r="H17" s="2"/>
      <c r="I17" s="2" t="s">
        <v>206</v>
      </c>
      <c r="J17" s="170"/>
      <c r="K17" s="170"/>
      <c r="L17" s="170"/>
      <c r="M17" s="170"/>
      <c r="N17" s="189" t="str">
        <f t="shared" si="0"/>
        <v>Units?</v>
      </c>
      <c r="O17" s="189"/>
      <c r="V17" s="2" t="s">
        <v>212</v>
      </c>
      <c r="W17" s="211">
        <f>IF(AL17=1,"0.00",IFERROR(IF($J$21-$AA$15&lt;0,0,$J$21-$AA$15),""))</f>
        <v>0</v>
      </c>
      <c r="X17" s="211"/>
      <c r="Y17" s="211"/>
      <c r="Z17" s="211"/>
      <c r="AA17" s="189" t="str">
        <f>IF($AM$16=0,"Units?",IF($AM$16=1,"ac",IF($AM$16=2,"sq-ft","Error")))</f>
        <v>Units?</v>
      </c>
      <c r="AB17" s="189"/>
      <c r="AD17" s="2" t="s">
        <v>333</v>
      </c>
      <c r="AE17" s="190">
        <f>AP16</f>
        <v>0</v>
      </c>
      <c r="AF17" s="190"/>
      <c r="AG17" s="190"/>
      <c r="AH17" s="190"/>
      <c r="AI17" s="189" t="s">
        <v>330</v>
      </c>
      <c r="AJ17" s="189"/>
      <c r="AL17" s="87">
        <f>IF(AND(J21=0,ISBLANK(AA15)),0,IF(OR(J21-AA15=0,J21-AA15&lt;0),1,2))</f>
        <v>0</v>
      </c>
      <c r="AV17" s="47"/>
      <c r="AW17" s="4" t="str">
        <f>"Hydrology for Small Watersheds Technical Release 55 (TR-55) or equivalent as approved by the "&amp;Tables!$F$23&amp;" Engineer"</f>
        <v>Hydrology for Small Watersheds Technical Release 55 (TR-55) or equivalent as approved by the County Engineer</v>
      </c>
      <c r="AY17" s="21"/>
      <c r="AZ17" s="21"/>
      <c r="BA17" s="21"/>
      <c r="BB17" s="21"/>
      <c r="BC17" s="21"/>
      <c r="BD17" s="21"/>
      <c r="BE17" s="21"/>
      <c r="BF17" s="21"/>
      <c r="BG17" s="21"/>
      <c r="BH17"/>
      <c r="BI17"/>
      <c r="BJ17"/>
      <c r="BK17"/>
      <c r="BL17"/>
      <c r="BM17"/>
      <c r="BN17"/>
      <c r="BO17"/>
      <c r="BP17"/>
      <c r="BQ17"/>
      <c r="BR17"/>
      <c r="BS17"/>
      <c r="BT17"/>
      <c r="BU17"/>
      <c r="BV17"/>
      <c r="BW17"/>
      <c r="BX17"/>
      <c r="BY17"/>
      <c r="BZ17"/>
      <c r="CA17"/>
      <c r="CB17"/>
      <c r="CC17"/>
      <c r="CD17"/>
      <c r="CE17"/>
      <c r="CF17"/>
    </row>
    <row r="18" spans="2:84" ht="14.55" customHeight="1" x14ac:dyDescent="0.3">
      <c r="G18" s="2"/>
      <c r="H18" s="2"/>
      <c r="I18" s="2" t="s">
        <v>207</v>
      </c>
      <c r="J18" s="170"/>
      <c r="K18" s="170"/>
      <c r="L18" s="170"/>
      <c r="M18" s="170"/>
      <c r="N18" s="189" t="str">
        <f t="shared" si="0"/>
        <v>Units?</v>
      </c>
      <c r="O18" s="189"/>
      <c r="S18" s="4" t="s">
        <v>32</v>
      </c>
      <c r="AV18" s="47">
        <f>AV16+1</f>
        <v>5</v>
      </c>
      <c r="AW18" s="21" t="s">
        <v>194</v>
      </c>
      <c r="AY18" s="21"/>
      <c r="AZ18" s="21"/>
      <c r="BA18" s="21"/>
      <c r="BB18" s="21"/>
      <c r="BC18" s="21"/>
      <c r="BD18" s="21"/>
      <c r="BE18" s="21"/>
      <c r="BF18" s="21"/>
      <c r="BG18" s="21"/>
      <c r="BH18"/>
      <c r="BI18"/>
      <c r="BJ18"/>
      <c r="BK18"/>
      <c r="BL18"/>
      <c r="BM18"/>
      <c r="BN18"/>
      <c r="BO18"/>
      <c r="BP18"/>
      <c r="BQ18"/>
      <c r="BR18"/>
      <c r="BS18"/>
      <c r="BT18"/>
      <c r="BU18"/>
      <c r="BV18"/>
      <c r="BW18"/>
      <c r="BX18"/>
      <c r="BY18"/>
      <c r="BZ18"/>
      <c r="CA18"/>
      <c r="CB18"/>
      <c r="CC18"/>
      <c r="CD18"/>
      <c r="CE18"/>
      <c r="CF18"/>
    </row>
    <row r="19" spans="2:84" ht="14.55" customHeight="1" x14ac:dyDescent="0.3">
      <c r="G19" s="2"/>
      <c r="H19" s="2"/>
      <c r="I19" s="2" t="s">
        <v>208</v>
      </c>
      <c r="J19" s="170"/>
      <c r="K19" s="170"/>
      <c r="L19" s="170"/>
      <c r="M19" s="170"/>
      <c r="N19" s="189" t="str">
        <f t="shared" si="0"/>
        <v>Units?</v>
      </c>
      <c r="O19" s="189"/>
      <c r="V19" s="2" t="s">
        <v>34</v>
      </c>
      <c r="W19" s="4" t="str">
        <f>"AIA acres X "&amp;Tables!G15&amp; " in X 3,630"</f>
        <v>AIA acres X 1.00 in X 3,630</v>
      </c>
      <c r="AV19" s="47"/>
      <c r="AW19" s="21" t="str">
        <f>"pre-development hydrology for the "&amp;Tables!$F$28&amp;"-year, 24-hour rainfall depths"</f>
        <v>pre-development hydrology for the 2, 5, 10, 25, 50, and 100-year, 24-hour rainfall depths</v>
      </c>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row>
    <row r="20" spans="2:84" ht="14.55" customHeight="1" thickBot="1" x14ac:dyDescent="0.35">
      <c r="G20" s="2"/>
      <c r="H20" s="2"/>
      <c r="I20" s="2" t="s">
        <v>209</v>
      </c>
      <c r="J20" s="212"/>
      <c r="K20" s="212"/>
      <c r="L20" s="212"/>
      <c r="M20" s="212"/>
      <c r="N20" s="189" t="str">
        <f t="shared" si="0"/>
        <v>Units?</v>
      </c>
      <c r="O20" s="189"/>
      <c r="V20" s="2" t="s">
        <v>34</v>
      </c>
      <c r="W20" s="190">
        <f>IF(AL17=1,"0.00",IFERROR(IF($J$21-$AA$15&lt;0,0,$AP$16),""))</f>
        <v>0</v>
      </c>
      <c r="X20" s="190"/>
      <c r="Y20" s="190"/>
      <c r="Z20" s="190"/>
      <c r="AA20" s="4" t="str">
        <f>"acres X "&amp;Tables!G15&amp;" in X 3,630"</f>
        <v>acres X 1.00 in X 3,630</v>
      </c>
      <c r="AV20" s="47">
        <v>6</v>
      </c>
      <c r="AW20" s="4" t="s">
        <v>357</v>
      </c>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row>
    <row r="21" spans="2:84" ht="14.55" customHeight="1" thickTop="1" x14ac:dyDescent="0.3">
      <c r="G21" s="2"/>
      <c r="H21" s="2"/>
      <c r="I21" s="2" t="s">
        <v>210</v>
      </c>
      <c r="J21" s="211">
        <f>IF(SUM($J$16:$J$20)=0,0,SUM($J$16:$J$20))</f>
        <v>0</v>
      </c>
      <c r="K21" s="211"/>
      <c r="L21" s="211"/>
      <c r="M21" s="211"/>
      <c r="N21" s="189" t="str">
        <f t="shared" si="0"/>
        <v>Units?</v>
      </c>
      <c r="O21" s="189"/>
      <c r="V21" s="2" t="s">
        <v>34</v>
      </c>
      <c r="W21" s="204">
        <f>IF(AL17=1,"0",IFERROR(ROUND(IF(AP16*Tables!F15*3630&lt;0,0,AP16*Tables!F15*3630),0),""))</f>
        <v>0</v>
      </c>
      <c r="X21" s="204"/>
      <c r="Y21" s="204"/>
      <c r="Z21" s="204"/>
      <c r="AA21" s="4" t="s">
        <v>33</v>
      </c>
      <c r="AW21" s="6" t="s">
        <v>89</v>
      </c>
      <c r="AX21" s="4" t="str">
        <f>"Obtain "&amp;Tables!F37&amp;" for the adjacent property"</f>
        <v>Obtain Drainage Rights for the adjacent property</v>
      </c>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row>
    <row r="22" spans="2:84" ht="15" customHeight="1" x14ac:dyDescent="0.3">
      <c r="AW22" s="6" t="s">
        <v>90</v>
      </c>
      <c r="AX22" s="4" t="str">
        <f>"If a "&amp;Tables!$F$37&amp;" cannot be obtained, size the detention pond to attenuate the"</f>
        <v>If a Drainage Rights cannot be obtained, size the detention pond to attenuate the</v>
      </c>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row>
    <row r="23" spans="2:84" ht="15" customHeight="1" x14ac:dyDescent="0.3">
      <c r="B23" s="1" t="s">
        <v>3</v>
      </c>
      <c r="C23" s="1"/>
      <c r="D23" s="1"/>
      <c r="E23" s="1"/>
      <c r="F23" s="1"/>
      <c r="G23" s="1"/>
      <c r="H23" s="1"/>
      <c r="I23" s="1"/>
      <c r="J23" s="1"/>
      <c r="Y23" s="2" t="s">
        <v>294</v>
      </c>
      <c r="Z23" s="156"/>
      <c r="AA23" s="4" t="s">
        <v>295</v>
      </c>
      <c r="AC23" s="156"/>
      <c r="AD23" s="4" t="s">
        <v>296</v>
      </c>
      <c r="AF23" s="156"/>
      <c r="AG23" s="4" t="s">
        <v>297</v>
      </c>
      <c r="AI23" s="156"/>
      <c r="AJ23" s="4" t="s">
        <v>298</v>
      </c>
      <c r="AL23" s="87">
        <f>IF(AND(ISBLANK(Z23),ISBLANK(AC23),ISBLANK(AF23),ISBLANK(AI23)),1,2)</f>
        <v>1</v>
      </c>
      <c r="AM23" s="87">
        <f>IF(ISBLANK(Z23),IF(ISBLANK(AC23),IF(ISBLANK(AF23),IF(ISBLANK(AI23),0,4),3),2),1)</f>
        <v>0</v>
      </c>
      <c r="AX23" s="21" t="str">
        <f>"post-development peak discharges for the "&amp;AS123&amp;"-year to be less than the pre-development"</f>
        <v>post-development peak discharges for the 2, 5, 10, 25, 50, and 100-year to be less than the pre-development</v>
      </c>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row>
    <row r="24" spans="2:84" s="72" customFormat="1" ht="15" hidden="1" customHeight="1" x14ac:dyDescent="0.3">
      <c r="B24" s="115"/>
      <c r="C24" s="115"/>
      <c r="D24" s="115"/>
      <c r="E24" s="115"/>
      <c r="F24" s="115"/>
      <c r="G24" s="115"/>
      <c r="H24" s="115"/>
      <c r="I24" s="115"/>
      <c r="J24" s="115"/>
      <c r="L24" s="87">
        <f>IF(ISBLANK(L25),1,2)</f>
        <v>1</v>
      </c>
      <c r="P24" s="87">
        <f>IF(ISBLANK(P25),1,2)</f>
        <v>1</v>
      </c>
      <c r="T24" s="87">
        <f>IF(ISBLANK(T25),1,2)</f>
        <v>1</v>
      </c>
      <c r="X24" s="87">
        <f>IF(ISBLANK(X25),1,2)</f>
        <v>1</v>
      </c>
      <c r="AB24" s="87">
        <f>IF(ISBLANK(AB25),1,2)</f>
        <v>1</v>
      </c>
    </row>
    <row r="25" spans="2:84" ht="14.55" customHeight="1" x14ac:dyDescent="0.3">
      <c r="J25" s="2" t="s">
        <v>44</v>
      </c>
      <c r="L25" s="192"/>
      <c r="M25" s="192"/>
      <c r="N25" s="192"/>
      <c r="P25" s="192"/>
      <c r="Q25" s="192"/>
      <c r="R25" s="192"/>
      <c r="T25" s="192"/>
      <c r="U25" s="192"/>
      <c r="V25" s="192"/>
      <c r="X25" s="192"/>
      <c r="Y25" s="192"/>
      <c r="Z25" s="192"/>
      <c r="AB25" s="192"/>
      <c r="AC25" s="192"/>
      <c r="AD25" s="192"/>
      <c r="AG25" s="6" t="s">
        <v>13</v>
      </c>
      <c r="AH25" s="6"/>
      <c r="AI25" s="6"/>
      <c r="AX25" s="21" t="str">
        <f>"peak discharge(s) for the "&amp;AR123&amp;"-year storm event"</f>
        <v>peak discharge(s) for the 2, 5, 10, 25, 50, and 100-year storm event</v>
      </c>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row>
    <row r="26" spans="2:84" ht="14.55" customHeight="1" x14ac:dyDescent="0.3">
      <c r="H26" s="2" t="s">
        <v>334</v>
      </c>
      <c r="I26" s="213" t="str">
        <f>IF($AM$16=0,"Units?",IF($AM$16=1,"(ac):",IF($AM$16=2,"(sq-ft):","Error")))</f>
        <v>Units?</v>
      </c>
      <c r="J26" s="213"/>
      <c r="L26" s="170"/>
      <c r="M26" s="170"/>
      <c r="N26" s="170"/>
      <c r="P26" s="170"/>
      <c r="Q26" s="170"/>
      <c r="R26" s="170"/>
      <c r="T26" s="170"/>
      <c r="U26" s="170"/>
      <c r="V26" s="170"/>
      <c r="X26" s="173"/>
      <c r="Y26" s="173"/>
      <c r="Z26" s="173"/>
      <c r="AB26" s="170"/>
      <c r="AC26" s="170"/>
      <c r="AD26" s="170"/>
      <c r="AF26" s="173"/>
      <c r="AG26" s="173"/>
      <c r="AH26" s="173"/>
      <c r="AI26" s="8"/>
      <c r="AW26" s="6" t="s">
        <v>104</v>
      </c>
      <c r="AX26" s="4" t="str">
        <f>"If a "&amp;Tables!$F$37&amp;" cannot be obtained and the detention pond will discharge to an area that is currently"</f>
        <v>If a Drainage Rights cannot be obtained and the detention pond will discharge to an area that is currently</v>
      </c>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row>
    <row r="27" spans="2:84" ht="14.55" customHeight="1" x14ac:dyDescent="0.3">
      <c r="J27" s="2" t="s">
        <v>4</v>
      </c>
      <c r="L27" s="193"/>
      <c r="M27" s="193"/>
      <c r="N27" s="193"/>
      <c r="P27" s="193"/>
      <c r="Q27" s="193"/>
      <c r="R27" s="193"/>
      <c r="T27" s="193"/>
      <c r="U27" s="193"/>
      <c r="V27" s="193"/>
      <c r="X27" s="193"/>
      <c r="Y27" s="193"/>
      <c r="Z27" s="193"/>
      <c r="AB27" s="193"/>
      <c r="AC27" s="193"/>
      <c r="AD27" s="193"/>
      <c r="AF27" s="113"/>
      <c r="AG27" s="113"/>
      <c r="AH27" s="113"/>
      <c r="AI27" s="7"/>
      <c r="AX27" s="4" t="s">
        <v>508</v>
      </c>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row>
    <row r="28" spans="2:84" ht="14.55" customHeight="1" x14ac:dyDescent="0.3">
      <c r="J28" s="2" t="s">
        <v>47</v>
      </c>
      <c r="L28" s="193"/>
      <c r="M28" s="193"/>
      <c r="N28" s="193"/>
      <c r="P28" s="193"/>
      <c r="Q28" s="193"/>
      <c r="R28" s="193"/>
      <c r="T28" s="193"/>
      <c r="U28" s="193"/>
      <c r="V28" s="193"/>
      <c r="X28" s="193"/>
      <c r="Y28" s="193"/>
      <c r="Z28" s="193"/>
      <c r="AB28" s="193"/>
      <c r="AC28" s="193"/>
      <c r="AD28" s="193"/>
      <c r="AF28" s="13"/>
      <c r="AG28" s="13"/>
      <c r="AH28" s="13"/>
      <c r="AI28" s="13"/>
      <c r="AL28" s="91">
        <f>SUM(AL29:AL34)</f>
        <v>0</v>
      </c>
      <c r="AM28" s="87">
        <f>SUM(AM29:AM34)</f>
        <v>0</v>
      </c>
      <c r="AN28" s="42" t="s">
        <v>13</v>
      </c>
      <c r="AV28" s="47">
        <v>7</v>
      </c>
      <c r="AW28" s="4" t="s">
        <v>273</v>
      </c>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row>
    <row r="29" spans="2:84" ht="14.55" customHeight="1" x14ac:dyDescent="0.3">
      <c r="D29" s="209" t="s">
        <v>293</v>
      </c>
      <c r="E29" s="209"/>
      <c r="F29" s="203">
        <f>Tables!$F$16</f>
        <v>6.02</v>
      </c>
      <c r="G29" s="203"/>
      <c r="H29" s="13"/>
      <c r="I29" s="13"/>
      <c r="J29" s="2" t="str">
        <f>Tables!$D$16</f>
        <v>(2-yr)</v>
      </c>
      <c r="L29" s="173"/>
      <c r="M29" s="173"/>
      <c r="N29" s="173"/>
      <c r="P29" s="173"/>
      <c r="Q29" s="173"/>
      <c r="R29" s="173"/>
      <c r="T29" s="173"/>
      <c r="U29" s="173"/>
      <c r="V29" s="173"/>
      <c r="X29" s="173"/>
      <c r="Y29" s="173"/>
      <c r="Z29" s="173"/>
      <c r="AB29" s="173"/>
      <c r="AC29" s="173"/>
      <c r="AD29" s="173"/>
      <c r="AF29" s="173"/>
      <c r="AG29" s="173"/>
      <c r="AH29" s="173"/>
      <c r="AI29" s="8"/>
      <c r="AL29" s="87">
        <f t="shared" ref="AL29:AL34" si="1">IF(AF29=0,0,1)</f>
        <v>0</v>
      </c>
      <c r="AM29" s="87">
        <f t="shared" ref="AM29:AM34" si="2">IF(ISBLANK(AF29),0,1)</f>
        <v>0</v>
      </c>
      <c r="AW29" s="4" t="s">
        <v>340</v>
      </c>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row>
    <row r="30" spans="2:84" ht="14.55" customHeight="1" x14ac:dyDescent="0.3">
      <c r="D30" s="209"/>
      <c r="E30" s="209"/>
      <c r="F30" s="203">
        <f>Tables!$F$17</f>
        <v>7.68</v>
      </c>
      <c r="G30" s="203"/>
      <c r="H30" s="13"/>
      <c r="I30" s="13"/>
      <c r="J30" s="2" t="str">
        <f>Tables!$D$17</f>
        <v>(5-yr)</v>
      </c>
      <c r="L30" s="170"/>
      <c r="M30" s="170"/>
      <c r="N30" s="170"/>
      <c r="P30" s="170"/>
      <c r="Q30" s="170"/>
      <c r="R30" s="170"/>
      <c r="T30" s="170"/>
      <c r="U30" s="170"/>
      <c r="V30" s="170"/>
      <c r="X30" s="170"/>
      <c r="Y30" s="170"/>
      <c r="Z30" s="170"/>
      <c r="AB30" s="170"/>
      <c r="AC30" s="170"/>
      <c r="AD30" s="170"/>
      <c r="AF30" s="170"/>
      <c r="AG30" s="170"/>
      <c r="AH30" s="170"/>
      <c r="AI30" s="8"/>
      <c r="AL30" s="87">
        <f t="shared" si="1"/>
        <v>0</v>
      </c>
      <c r="AM30" s="87">
        <f t="shared" si="2"/>
        <v>0</v>
      </c>
      <c r="AW30" s="4" t="s">
        <v>390</v>
      </c>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row>
    <row r="31" spans="2:84" ht="14.55" customHeight="1" x14ac:dyDescent="0.3">
      <c r="D31" s="209"/>
      <c r="E31" s="209"/>
      <c r="F31" s="203">
        <f>Tables!$F$18</f>
        <v>9.26</v>
      </c>
      <c r="G31" s="203"/>
      <c r="H31" s="13"/>
      <c r="I31" s="13"/>
      <c r="J31" s="2" t="str">
        <f>Tables!$D$18</f>
        <v>(10-yr)</v>
      </c>
      <c r="L31" s="170"/>
      <c r="M31" s="170"/>
      <c r="N31" s="170"/>
      <c r="P31" s="170"/>
      <c r="Q31" s="170"/>
      <c r="R31" s="170"/>
      <c r="T31" s="170"/>
      <c r="U31" s="170"/>
      <c r="V31" s="170"/>
      <c r="X31" s="170"/>
      <c r="Y31" s="170"/>
      <c r="Z31" s="170"/>
      <c r="AB31" s="170"/>
      <c r="AC31" s="170"/>
      <c r="AD31" s="170"/>
      <c r="AF31" s="170"/>
      <c r="AG31" s="170"/>
      <c r="AH31" s="170"/>
      <c r="AI31" s="8"/>
      <c r="AL31" s="87">
        <f t="shared" si="1"/>
        <v>0</v>
      </c>
      <c r="AM31" s="87">
        <f t="shared" si="2"/>
        <v>0</v>
      </c>
      <c r="AV31" s="47">
        <f>AV28+1</f>
        <v>8</v>
      </c>
      <c r="AW31" s="4" t="s">
        <v>196</v>
      </c>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row>
    <row r="32" spans="2:84" ht="14.55" customHeight="1" x14ac:dyDescent="0.3">
      <c r="D32" s="209"/>
      <c r="E32" s="209"/>
      <c r="F32" s="203">
        <f>Tables!$F$19</f>
        <v>11.7</v>
      </c>
      <c r="G32" s="203"/>
      <c r="H32" s="13"/>
      <c r="I32" s="13"/>
      <c r="J32" s="2" t="str">
        <f>Tables!$D$19</f>
        <v>(25-yr)</v>
      </c>
      <c r="L32" s="170"/>
      <c r="M32" s="170"/>
      <c r="N32" s="170"/>
      <c r="P32" s="170"/>
      <c r="Q32" s="170"/>
      <c r="R32" s="170"/>
      <c r="T32" s="170"/>
      <c r="U32" s="170"/>
      <c r="V32" s="170"/>
      <c r="X32" s="170"/>
      <c r="Y32" s="170"/>
      <c r="Z32" s="170"/>
      <c r="AB32" s="170"/>
      <c r="AC32" s="170"/>
      <c r="AD32" s="170"/>
      <c r="AF32" s="170"/>
      <c r="AG32" s="170"/>
      <c r="AH32" s="170"/>
      <c r="AI32" s="8"/>
      <c r="AL32" s="87">
        <f t="shared" si="1"/>
        <v>0</v>
      </c>
      <c r="AM32" s="87">
        <f t="shared" si="2"/>
        <v>0</v>
      </c>
      <c r="AV32" s="47"/>
      <c r="AW32" s="4" t="s">
        <v>391</v>
      </c>
      <c r="AZ32" s="47"/>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row>
    <row r="33" spans="2:84" ht="14.55" customHeight="1" x14ac:dyDescent="0.3">
      <c r="D33" s="209"/>
      <c r="E33" s="209"/>
      <c r="F33" s="203">
        <f>Tables!$F$20</f>
        <v>13.9</v>
      </c>
      <c r="G33" s="203"/>
      <c r="H33" s="13"/>
      <c r="I33" s="13"/>
      <c r="J33" s="2" t="str">
        <f>Tables!$D$20</f>
        <v>(50-yr)</v>
      </c>
      <c r="L33" s="170"/>
      <c r="M33" s="170"/>
      <c r="N33" s="170"/>
      <c r="P33" s="170"/>
      <c r="Q33" s="170"/>
      <c r="R33" s="170"/>
      <c r="T33" s="170"/>
      <c r="U33" s="170"/>
      <c r="V33" s="170"/>
      <c r="X33" s="170"/>
      <c r="Y33" s="170"/>
      <c r="Z33" s="170"/>
      <c r="AB33" s="170"/>
      <c r="AC33" s="170"/>
      <c r="AD33" s="170"/>
      <c r="AF33" s="170"/>
      <c r="AG33" s="170"/>
      <c r="AH33" s="170"/>
      <c r="AI33" s="8"/>
      <c r="AL33" s="87">
        <f t="shared" si="1"/>
        <v>0</v>
      </c>
      <c r="AM33" s="87">
        <f t="shared" si="2"/>
        <v>0</v>
      </c>
      <c r="AV33" s="47">
        <f>AV31+1</f>
        <v>9</v>
      </c>
      <c r="AW33" s="4" t="s">
        <v>482</v>
      </c>
    </row>
    <row r="34" spans="2:84" ht="14.55" customHeight="1" x14ac:dyDescent="0.3">
      <c r="D34" s="209"/>
      <c r="E34" s="209"/>
      <c r="F34" s="203">
        <f>Tables!$F$21</f>
        <v>16.3</v>
      </c>
      <c r="G34" s="203"/>
      <c r="H34" s="13"/>
      <c r="I34" s="13"/>
      <c r="J34" s="2" t="str">
        <f>Tables!$D$21</f>
        <v>(100-yr)</v>
      </c>
      <c r="L34" s="170"/>
      <c r="M34" s="170"/>
      <c r="N34" s="170"/>
      <c r="P34" s="170"/>
      <c r="Q34" s="170"/>
      <c r="R34" s="170"/>
      <c r="T34" s="170"/>
      <c r="U34" s="170"/>
      <c r="V34" s="170"/>
      <c r="X34" s="170"/>
      <c r="Y34" s="170"/>
      <c r="Z34" s="170"/>
      <c r="AB34" s="170"/>
      <c r="AC34" s="170"/>
      <c r="AD34" s="170"/>
      <c r="AF34" s="173"/>
      <c r="AG34" s="173"/>
      <c r="AH34" s="173"/>
      <c r="AI34" s="8"/>
      <c r="AL34" s="87">
        <f t="shared" si="1"/>
        <v>0</v>
      </c>
      <c r="AM34" s="87">
        <f t="shared" si="2"/>
        <v>0</v>
      </c>
      <c r="AN34" s="90">
        <f>SUM(AF29:AH34)</f>
        <v>0</v>
      </c>
      <c r="AO34" s="90"/>
      <c r="AP34" s="90"/>
      <c r="AW34" s="4" t="s">
        <v>481</v>
      </c>
    </row>
    <row r="35" spans="2:84" ht="15" customHeight="1" x14ac:dyDescent="0.3">
      <c r="AL35" s="90"/>
      <c r="AM35" s="90"/>
      <c r="AN35" s="90"/>
      <c r="AO35" s="90"/>
      <c r="AP35" s="90"/>
      <c r="AV35" s="47">
        <f>AV33+1</f>
        <v>10</v>
      </c>
      <c r="AW35" s="4" t="s">
        <v>274</v>
      </c>
    </row>
    <row r="36" spans="2:84" ht="15" customHeight="1" x14ac:dyDescent="0.3">
      <c r="B36" s="1" t="s">
        <v>11</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W36" s="4" t="s">
        <v>339</v>
      </c>
      <c r="BA36" s="47"/>
      <c r="BB36" s="47"/>
      <c r="BC36" s="47"/>
      <c r="BD36" s="47"/>
      <c r="BE36" s="47"/>
      <c r="BF36" s="47"/>
      <c r="BG36" s="4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row>
    <row r="37" spans="2:84" s="72" customFormat="1" ht="15.6" hidden="1" x14ac:dyDescent="0.3">
      <c r="B37" s="115"/>
      <c r="C37" s="115"/>
      <c r="D37" s="115"/>
      <c r="E37" s="115"/>
      <c r="F37" s="115"/>
      <c r="G37" s="115"/>
      <c r="H37" s="115"/>
      <c r="I37" s="115"/>
      <c r="J37" s="115"/>
      <c r="L37" s="87">
        <f>IF(ISBLANK(L38),1,2)</f>
        <v>1</v>
      </c>
      <c r="P37" s="87">
        <f>IF(ISBLANK(P38),1,2)</f>
        <v>1</v>
      </c>
      <c r="T37" s="87">
        <f>IF(ISBLANK(T38),1,2)</f>
        <v>1</v>
      </c>
      <c r="X37" s="87">
        <f>IF(ISBLANK(X38),1,2)</f>
        <v>1</v>
      </c>
      <c r="AB37" s="87">
        <f>IF(ISBLANK(AB38),1,2)</f>
        <v>1</v>
      </c>
    </row>
    <row r="38" spans="2:84" ht="14.55" customHeight="1" x14ac:dyDescent="0.3">
      <c r="J38" s="2" t="s">
        <v>44</v>
      </c>
      <c r="L38" s="192"/>
      <c r="M38" s="192"/>
      <c r="N38" s="192"/>
      <c r="P38" s="192"/>
      <c r="Q38" s="192"/>
      <c r="R38" s="192"/>
      <c r="T38" s="192"/>
      <c r="U38" s="192"/>
      <c r="V38" s="192"/>
      <c r="X38" s="192"/>
      <c r="Y38" s="192"/>
      <c r="Z38" s="192"/>
      <c r="AB38" s="192"/>
      <c r="AC38" s="192"/>
      <c r="AD38" s="192"/>
      <c r="AG38" s="6" t="s">
        <v>12</v>
      </c>
      <c r="AH38" s="6"/>
      <c r="AI38" s="6"/>
      <c r="AW38" s="4" t="s">
        <v>392</v>
      </c>
    </row>
    <row r="39" spans="2:84" ht="14.55" customHeight="1" x14ac:dyDescent="0.3">
      <c r="H39" s="2" t="s">
        <v>334</v>
      </c>
      <c r="I39" s="213" t="str">
        <f>IF($AM$16=0,"Units?",IF($AM$16=1,"(ac):",IF($AM$16=2,"(sq-ft):","Error")))</f>
        <v>Units?</v>
      </c>
      <c r="J39" s="213"/>
      <c r="L39" s="170"/>
      <c r="M39" s="170"/>
      <c r="N39" s="170"/>
      <c r="P39" s="173"/>
      <c r="Q39" s="173"/>
      <c r="R39" s="173"/>
      <c r="T39" s="170"/>
      <c r="U39" s="170"/>
      <c r="V39" s="170"/>
      <c r="X39" s="170"/>
      <c r="Y39" s="170"/>
      <c r="Z39" s="170"/>
      <c r="AB39" s="170"/>
      <c r="AC39" s="170"/>
      <c r="AD39" s="170"/>
      <c r="AF39" s="173"/>
      <c r="AG39" s="173"/>
      <c r="AH39" s="173"/>
      <c r="AV39" s="47">
        <f>AV35+1</f>
        <v>11</v>
      </c>
      <c r="AW39" s="4" t="str">
        <f>"The bottom of the detention pond shall have a minimum slope of "&amp;Tables!F38&amp;"%.  If a low flow concrete channel is provided in the"</f>
        <v>The bottom of the detention pond shall have a minimum slope of 1%.  If a low flow concrete channel is provided in the</v>
      </c>
    </row>
    <row r="40" spans="2:84" ht="14.55" customHeight="1" x14ac:dyDescent="0.3">
      <c r="J40" s="2" t="s">
        <v>4</v>
      </c>
      <c r="L40" s="193"/>
      <c r="M40" s="193"/>
      <c r="N40" s="193"/>
      <c r="P40" s="193"/>
      <c r="Q40" s="193"/>
      <c r="R40" s="193"/>
      <c r="T40" s="193"/>
      <c r="U40" s="193"/>
      <c r="V40" s="193"/>
      <c r="X40" s="193"/>
      <c r="Y40" s="193"/>
      <c r="Z40" s="193"/>
      <c r="AB40" s="193"/>
      <c r="AC40" s="193"/>
      <c r="AD40" s="193"/>
      <c r="AF40" s="113"/>
      <c r="AG40" s="113"/>
      <c r="AH40" s="113"/>
      <c r="AW40" s="4" t="s">
        <v>509</v>
      </c>
    </row>
    <row r="41" spans="2:84" ht="14.55" customHeight="1" x14ac:dyDescent="0.3">
      <c r="J41" s="2" t="s">
        <v>47</v>
      </c>
      <c r="L41" s="193"/>
      <c r="M41" s="193"/>
      <c r="N41" s="193"/>
      <c r="P41" s="193"/>
      <c r="Q41" s="193"/>
      <c r="R41" s="193"/>
      <c r="T41" s="193"/>
      <c r="U41" s="193"/>
      <c r="V41" s="193"/>
      <c r="X41" s="193"/>
      <c r="Y41" s="193"/>
      <c r="Z41" s="193"/>
      <c r="AB41" s="193"/>
      <c r="AC41" s="193"/>
      <c r="AD41" s="193"/>
      <c r="AF41" s="13"/>
      <c r="AG41" s="13"/>
      <c r="AH41" s="13"/>
      <c r="AL41" s="91">
        <f>SUM(AL42:AL47)</f>
        <v>0</v>
      </c>
      <c r="AM41" s="87">
        <f>SUM(AM42:AM47)</f>
        <v>0</v>
      </c>
      <c r="AN41" s="42" t="s">
        <v>12</v>
      </c>
      <c r="AV41" s="47">
        <f>AV39+1</f>
        <v>12</v>
      </c>
      <c r="AW41" s="4" t="s">
        <v>498</v>
      </c>
    </row>
    <row r="42" spans="2:84" ht="14.55" customHeight="1" x14ac:dyDescent="0.3">
      <c r="D42" s="209" t="s">
        <v>293</v>
      </c>
      <c r="E42" s="209"/>
      <c r="F42" s="203">
        <f>Tables!$F$16</f>
        <v>6.02</v>
      </c>
      <c r="G42" s="203"/>
      <c r="H42" s="13"/>
      <c r="I42" s="13"/>
      <c r="J42" s="2" t="str">
        <f>Tables!$D$16</f>
        <v>(2-yr)</v>
      </c>
      <c r="L42" s="173"/>
      <c r="M42" s="173"/>
      <c r="N42" s="173"/>
      <c r="O42" s="3"/>
      <c r="P42" s="173"/>
      <c r="Q42" s="173"/>
      <c r="R42" s="173"/>
      <c r="T42" s="173"/>
      <c r="U42" s="173"/>
      <c r="V42" s="173"/>
      <c r="X42" s="173"/>
      <c r="Y42" s="173"/>
      <c r="Z42" s="173"/>
      <c r="AB42" s="173"/>
      <c r="AC42" s="173"/>
      <c r="AD42" s="173"/>
      <c r="AF42" s="173"/>
      <c r="AG42" s="173"/>
      <c r="AH42" s="173"/>
      <c r="AL42" s="87">
        <f t="shared" ref="AL42:AL47" si="3">IF(AF42=0,0,1)</f>
        <v>0</v>
      </c>
      <c r="AM42" s="87">
        <f t="shared" ref="AM42:AM47" si="4">IF(ISBLANK(AF42),0,1)</f>
        <v>0</v>
      </c>
      <c r="AV42" s="47"/>
      <c r="AW42" s="4" t="s">
        <v>345</v>
      </c>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row>
    <row r="43" spans="2:84" ht="14.55" customHeight="1" x14ac:dyDescent="0.3">
      <c r="D43" s="209"/>
      <c r="E43" s="209"/>
      <c r="F43" s="203">
        <f>Tables!$F$17</f>
        <v>7.68</v>
      </c>
      <c r="G43" s="203"/>
      <c r="H43" s="13"/>
      <c r="I43" s="13"/>
      <c r="J43" s="2" t="str">
        <f>Tables!$D$17</f>
        <v>(5-yr)</v>
      </c>
      <c r="L43" s="170"/>
      <c r="M43" s="170"/>
      <c r="N43" s="170"/>
      <c r="O43" s="3"/>
      <c r="P43" s="170"/>
      <c r="Q43" s="170"/>
      <c r="R43" s="170"/>
      <c r="T43" s="170"/>
      <c r="U43" s="170"/>
      <c r="V43" s="170"/>
      <c r="X43" s="170"/>
      <c r="Y43" s="170"/>
      <c r="Z43" s="170"/>
      <c r="AB43" s="170"/>
      <c r="AC43" s="170"/>
      <c r="AD43" s="170"/>
      <c r="AF43" s="170"/>
      <c r="AG43" s="170"/>
      <c r="AH43" s="170"/>
      <c r="AL43" s="87">
        <f t="shared" si="3"/>
        <v>0</v>
      </c>
      <c r="AM43" s="87">
        <f>IF(ISBLANK(AF43),0,1)</f>
        <v>0</v>
      </c>
      <c r="AW43" s="4" t="s">
        <v>346</v>
      </c>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row>
    <row r="44" spans="2:84" ht="14.55" customHeight="1" x14ac:dyDescent="0.3">
      <c r="D44" s="209"/>
      <c r="E44" s="209"/>
      <c r="F44" s="203">
        <f>Tables!$F$18</f>
        <v>9.26</v>
      </c>
      <c r="G44" s="203"/>
      <c r="H44" s="13"/>
      <c r="I44" s="13"/>
      <c r="J44" s="2" t="str">
        <f>Tables!$D$18</f>
        <v>(10-yr)</v>
      </c>
      <c r="L44" s="170"/>
      <c r="M44" s="170"/>
      <c r="N44" s="170"/>
      <c r="O44" s="3"/>
      <c r="P44" s="170"/>
      <c r="Q44" s="170"/>
      <c r="R44" s="170"/>
      <c r="T44" s="170"/>
      <c r="U44" s="170"/>
      <c r="V44" s="170"/>
      <c r="X44" s="170"/>
      <c r="Y44" s="170"/>
      <c r="Z44" s="170"/>
      <c r="AB44" s="170"/>
      <c r="AC44" s="170"/>
      <c r="AD44" s="170"/>
      <c r="AF44" s="170"/>
      <c r="AG44" s="170"/>
      <c r="AH44" s="170"/>
      <c r="AL44" s="87">
        <f t="shared" si="3"/>
        <v>0</v>
      </c>
      <c r="AM44" s="87">
        <f>IF(ISBLANK(AF44),0,1)</f>
        <v>0</v>
      </c>
      <c r="AW44" s="4" t="s">
        <v>499</v>
      </c>
    </row>
    <row r="45" spans="2:84" ht="14.55" customHeight="1" x14ac:dyDescent="0.3">
      <c r="D45" s="209"/>
      <c r="E45" s="209"/>
      <c r="F45" s="203">
        <f>Tables!$F$19</f>
        <v>11.7</v>
      </c>
      <c r="G45" s="203"/>
      <c r="H45" s="13"/>
      <c r="I45" s="13"/>
      <c r="J45" s="2" t="str">
        <f>Tables!$D$19</f>
        <v>(25-yr)</v>
      </c>
      <c r="L45" s="170"/>
      <c r="M45" s="170"/>
      <c r="N45" s="170"/>
      <c r="O45" s="3"/>
      <c r="P45" s="170"/>
      <c r="Q45" s="170"/>
      <c r="R45" s="170"/>
      <c r="T45" s="170"/>
      <c r="U45" s="170"/>
      <c r="V45" s="170"/>
      <c r="X45" s="170"/>
      <c r="Y45" s="170"/>
      <c r="Z45" s="170"/>
      <c r="AB45" s="170"/>
      <c r="AC45" s="170"/>
      <c r="AD45" s="170"/>
      <c r="AF45" s="170"/>
      <c r="AG45" s="170"/>
      <c r="AH45" s="170"/>
      <c r="AL45" s="87">
        <f t="shared" si="3"/>
        <v>0</v>
      </c>
      <c r="AM45" s="87">
        <f t="shared" si="4"/>
        <v>0</v>
      </c>
      <c r="AV45" s="47">
        <f>AV41+1</f>
        <v>13</v>
      </c>
      <c r="AW45" s="4" t="s">
        <v>393</v>
      </c>
    </row>
    <row r="46" spans="2:84" ht="14.55" customHeight="1" x14ac:dyDescent="0.3">
      <c r="D46" s="209"/>
      <c r="E46" s="209"/>
      <c r="F46" s="203">
        <f>Tables!$F$20</f>
        <v>13.9</v>
      </c>
      <c r="G46" s="203"/>
      <c r="H46" s="13"/>
      <c r="I46" s="13"/>
      <c r="J46" s="2" t="str">
        <f>Tables!$D$20</f>
        <v>(50-yr)</v>
      </c>
      <c r="L46" s="170"/>
      <c r="M46" s="170"/>
      <c r="N46" s="170"/>
      <c r="O46" s="3"/>
      <c r="P46" s="170"/>
      <c r="Q46" s="170"/>
      <c r="R46" s="170"/>
      <c r="T46" s="170"/>
      <c r="U46" s="170"/>
      <c r="V46" s="170"/>
      <c r="X46" s="170"/>
      <c r="Y46" s="170"/>
      <c r="Z46" s="170"/>
      <c r="AB46" s="170"/>
      <c r="AC46" s="170"/>
      <c r="AD46" s="170"/>
      <c r="AF46" s="170"/>
      <c r="AG46" s="170"/>
      <c r="AH46" s="170"/>
      <c r="AL46" s="87">
        <f t="shared" si="3"/>
        <v>0</v>
      </c>
      <c r="AM46" s="87">
        <f t="shared" si="4"/>
        <v>0</v>
      </c>
      <c r="AV46" s="47">
        <f>AV45+1</f>
        <v>14</v>
      </c>
      <c r="AW46" s="4" t="s">
        <v>254</v>
      </c>
    </row>
    <row r="47" spans="2:84" ht="14.55" customHeight="1" x14ac:dyDescent="0.3">
      <c r="D47" s="209"/>
      <c r="E47" s="209"/>
      <c r="F47" s="203">
        <f>Tables!$F$21</f>
        <v>16.3</v>
      </c>
      <c r="G47" s="203"/>
      <c r="H47" s="13"/>
      <c r="I47" s="13"/>
      <c r="J47" s="2" t="str">
        <f>Tables!$D$21</f>
        <v>(100-yr)</v>
      </c>
      <c r="L47" s="170"/>
      <c r="M47" s="170"/>
      <c r="N47" s="170"/>
      <c r="O47" s="3"/>
      <c r="P47" s="170"/>
      <c r="Q47" s="170"/>
      <c r="R47" s="170"/>
      <c r="T47" s="170"/>
      <c r="U47" s="170"/>
      <c r="V47" s="170"/>
      <c r="X47" s="170"/>
      <c r="Y47" s="170"/>
      <c r="Z47" s="170"/>
      <c r="AB47" s="170"/>
      <c r="AC47" s="170"/>
      <c r="AD47" s="170"/>
      <c r="AF47" s="170"/>
      <c r="AG47" s="170"/>
      <c r="AH47" s="170"/>
      <c r="AL47" s="87">
        <f t="shared" si="3"/>
        <v>0</v>
      </c>
      <c r="AM47" s="87">
        <f t="shared" si="4"/>
        <v>0</v>
      </c>
      <c r="AW47" s="6" t="s">
        <v>89</v>
      </c>
      <c r="AX47" s="4" t="s">
        <v>259</v>
      </c>
    </row>
    <row r="48" spans="2:84" ht="15" customHeight="1" x14ac:dyDescent="0.3">
      <c r="AW48" s="6" t="s">
        <v>90</v>
      </c>
      <c r="AX48" s="4" t="s">
        <v>258</v>
      </c>
    </row>
    <row r="49" spans="2:53" ht="15" customHeight="1" x14ac:dyDescent="0.3">
      <c r="B49" s="1" t="s">
        <v>497</v>
      </c>
      <c r="AW49" s="6" t="s">
        <v>104</v>
      </c>
      <c r="AX49" s="4" t="s">
        <v>309</v>
      </c>
    </row>
    <row r="50" spans="2:53" ht="4.95" customHeight="1" x14ac:dyDescent="0.3">
      <c r="AV50" s="36"/>
      <c r="AY50" s="36"/>
    </row>
    <row r="51" spans="2:53" ht="15" customHeight="1" x14ac:dyDescent="0.3">
      <c r="C51" s="156"/>
      <c r="D51" s="4" t="s">
        <v>118</v>
      </c>
      <c r="F51" s="156"/>
      <c r="G51" s="4" t="s">
        <v>119</v>
      </c>
      <c r="H51" s="6"/>
      <c r="I51" s="4" t="s">
        <v>501</v>
      </c>
      <c r="V51" s="2"/>
      <c r="W51" s="98"/>
      <c r="Z51" s="98"/>
      <c r="AL51" s="87">
        <f>IF(AND(ISBLANK(C51),ISBLANK(F51)),1,2)</f>
        <v>1</v>
      </c>
      <c r="AW51" s="6" t="s">
        <v>105</v>
      </c>
      <c r="AX51" s="4" t="s">
        <v>255</v>
      </c>
      <c r="BA51" s="36"/>
    </row>
    <row r="52" spans="2:53" ht="15" customHeight="1" x14ac:dyDescent="0.3">
      <c r="F52" s="116"/>
      <c r="I52" s="4" t="s">
        <v>500</v>
      </c>
      <c r="K52" s="6"/>
      <c r="V52" s="2"/>
      <c r="W52" s="98"/>
      <c r="Z52" s="98"/>
      <c r="AW52" s="6" t="s">
        <v>260</v>
      </c>
      <c r="AX52" s="4" t="s">
        <v>256</v>
      </c>
      <c r="BA52" s="36"/>
    </row>
    <row r="53" spans="2:53" ht="15" customHeight="1" x14ac:dyDescent="0.3">
      <c r="B53" s="216">
        <f>Tables!$F$13</f>
        <v>46266</v>
      </c>
      <c r="C53" s="216"/>
      <c r="D53" s="216"/>
      <c r="E53" s="216"/>
      <c r="F53" s="216"/>
      <c r="G53" s="216"/>
      <c r="H53" s="216"/>
      <c r="I53" s="68"/>
      <c r="R53" s="6" t="s">
        <v>251</v>
      </c>
      <c r="AW53" s="6" t="s">
        <v>261</v>
      </c>
      <c r="AX53" s="4" t="s">
        <v>257</v>
      </c>
      <c r="BA53" s="37"/>
    </row>
    <row r="54" spans="2:53" ht="15" customHeight="1" x14ac:dyDescent="0.3">
      <c r="C54" s="2" t="s">
        <v>129</v>
      </c>
      <c r="D54" s="171">
        <f>IF(ISBLANK($E$7),0,$E$7)</f>
        <v>0</v>
      </c>
      <c r="E54" s="171"/>
      <c r="F54" s="171"/>
      <c r="G54" s="171"/>
      <c r="H54" s="171"/>
      <c r="I54" s="171"/>
      <c r="J54" s="171"/>
      <c r="K54" s="171"/>
      <c r="L54" s="171"/>
      <c r="M54" s="171"/>
      <c r="N54" s="171"/>
      <c r="O54" s="171"/>
      <c r="P54" s="171"/>
      <c r="Q54" s="171"/>
      <c r="R54" s="171"/>
      <c r="S54" s="171"/>
      <c r="T54" s="171"/>
      <c r="U54" s="171"/>
      <c r="V54" s="171"/>
      <c r="W54" s="171"/>
      <c r="X54" s="171"/>
      <c r="Y54" s="171"/>
      <c r="AD54" s="2" t="s">
        <v>155</v>
      </c>
      <c r="AE54" s="172">
        <f>IF(ISBLANK($AE$7),0,$AE$7)</f>
        <v>0</v>
      </c>
      <c r="AF54" s="172"/>
      <c r="AG54" s="172"/>
      <c r="AH54" s="172"/>
      <c r="AI54" s="172"/>
      <c r="AJ54" s="172"/>
      <c r="AV54" s="47">
        <f>AV46+1</f>
        <v>15</v>
      </c>
      <c r="AW54" s="4" t="s">
        <v>394</v>
      </c>
    </row>
    <row r="55" spans="2:53" ht="15" customHeight="1" x14ac:dyDescent="0.3">
      <c r="B55" s="1" t="s">
        <v>338</v>
      </c>
      <c r="C55" s="1"/>
      <c r="D55" s="1"/>
      <c r="E55" s="1"/>
      <c r="F55" s="1"/>
      <c r="G55" s="1"/>
      <c r="H55" s="1"/>
      <c r="I55" s="1"/>
      <c r="J55" s="1"/>
      <c r="K55" s="2"/>
      <c r="L55" s="2"/>
      <c r="M55" s="2"/>
      <c r="N55" s="2"/>
      <c r="O55" s="3"/>
      <c r="P55" s="8"/>
      <c r="Q55" s="8"/>
      <c r="R55" s="8"/>
      <c r="S55" s="8"/>
      <c r="T55" s="8"/>
      <c r="U55" s="8"/>
      <c r="V55" s="8"/>
      <c r="W55" s="8"/>
      <c r="X55" s="8"/>
      <c r="Y55" s="8"/>
      <c r="Z55" s="8"/>
      <c r="AA55" s="8"/>
      <c r="AB55" s="8"/>
      <c r="AC55" s="8"/>
      <c r="AD55" s="2" t="s">
        <v>156</v>
      </c>
      <c r="AE55" s="169">
        <f>IF(ISBLANK($AE$8),0,$AE$8)</f>
        <v>0</v>
      </c>
      <c r="AF55" s="169"/>
      <c r="AG55" s="169"/>
      <c r="AH55" s="169"/>
      <c r="AI55" s="169"/>
      <c r="AJ55" s="169"/>
      <c r="AV55" s="47">
        <f>AV54+1</f>
        <v>16</v>
      </c>
      <c r="AW55" s="4" t="s">
        <v>446</v>
      </c>
    </row>
    <row r="56" spans="2:53" s="21" customFormat="1" ht="4.95" customHeight="1" x14ac:dyDescent="0.3">
      <c r="B56" s="1"/>
      <c r="C56" s="1"/>
      <c r="D56" s="1"/>
      <c r="E56" s="1"/>
      <c r="F56" s="1"/>
      <c r="G56" s="1"/>
      <c r="H56" s="1"/>
      <c r="I56" s="1"/>
      <c r="J56" s="1"/>
      <c r="AL56" s="45"/>
      <c r="AM56" s="45"/>
      <c r="AN56" s="45"/>
      <c r="AO56" s="45"/>
      <c r="AP56" s="45"/>
      <c r="AQ56" s="45"/>
      <c r="AR56" s="45"/>
      <c r="AS56" s="45"/>
      <c r="AT56" s="45"/>
    </row>
    <row r="57" spans="2:53" ht="15" customHeight="1" x14ac:dyDescent="0.3">
      <c r="C57" s="2"/>
      <c r="D57" s="2" t="s">
        <v>213</v>
      </c>
      <c r="E57" s="199"/>
      <c r="F57" s="199"/>
      <c r="G57" s="199"/>
      <c r="H57" s="199"/>
      <c r="M57" s="2" t="s">
        <v>218</v>
      </c>
      <c r="N57" s="199"/>
      <c r="O57" s="199"/>
      <c r="P57" s="199"/>
      <c r="Q57" s="199"/>
      <c r="AE57" s="2" t="s">
        <v>137</v>
      </c>
      <c r="AF57" s="156"/>
      <c r="AG57" s="4" t="s">
        <v>118</v>
      </c>
      <c r="AI57" s="156"/>
      <c r="AJ57" s="4" t="s">
        <v>119</v>
      </c>
      <c r="AL57" s="87">
        <f>IF(AND(ISBLANK(AF57),ISBLANK(AI57)),1,2)</f>
        <v>1</v>
      </c>
      <c r="AM57" s="87">
        <f>IF(ISBLANK(AI57),1,2)</f>
        <v>1</v>
      </c>
      <c r="AW57" s="4" t="s">
        <v>447</v>
      </c>
    </row>
    <row r="58" spans="2:53" ht="15" customHeight="1" x14ac:dyDescent="0.3">
      <c r="C58" s="2"/>
      <c r="D58" s="2" t="s">
        <v>214</v>
      </c>
      <c r="E58" s="193"/>
      <c r="F58" s="193"/>
      <c r="G58" s="193"/>
      <c r="H58" s="4" t="s">
        <v>39</v>
      </c>
      <c r="AL58" s="87">
        <f>IF(ISBLANK(E58),1,2)</f>
        <v>1</v>
      </c>
      <c r="AV58" s="47">
        <f>AV55+1</f>
        <v>17</v>
      </c>
      <c r="AW58" s="4" t="s">
        <v>507</v>
      </c>
    </row>
    <row r="59" spans="2:53" ht="15" customHeight="1" x14ac:dyDescent="0.3">
      <c r="C59" s="2"/>
      <c r="D59" s="2" t="s">
        <v>215</v>
      </c>
      <c r="E59" s="193"/>
      <c r="F59" s="193"/>
      <c r="G59" s="193"/>
      <c r="H59" s="4" t="s">
        <v>39</v>
      </c>
      <c r="M59" s="2" t="s">
        <v>219</v>
      </c>
      <c r="N59" s="183"/>
      <c r="O59" s="183"/>
      <c r="P59" s="183"/>
      <c r="Q59" s="4" t="s">
        <v>39</v>
      </c>
      <c r="AL59" s="87">
        <f>IF(AND(ISBLANK(E59),ISBLANK(N59)),1,2)</f>
        <v>1</v>
      </c>
      <c r="AV59" s="47">
        <f>AV58+1</f>
        <v>18</v>
      </c>
      <c r="AW59" s="4" t="s">
        <v>312</v>
      </c>
    </row>
    <row r="60" spans="2:53" ht="15" customHeight="1" x14ac:dyDescent="0.3">
      <c r="C60" s="2"/>
      <c r="D60" s="2" t="s">
        <v>216</v>
      </c>
      <c r="E60" s="193"/>
      <c r="F60" s="193"/>
      <c r="G60" s="193"/>
      <c r="H60" s="4" t="s">
        <v>39</v>
      </c>
      <c r="M60" s="2" t="s">
        <v>220</v>
      </c>
      <c r="N60" s="193"/>
      <c r="O60" s="193"/>
      <c r="P60" s="193"/>
      <c r="Q60" s="4" t="s">
        <v>39</v>
      </c>
    </row>
    <row r="61" spans="2:53" ht="4.95" customHeight="1" x14ac:dyDescent="0.3">
      <c r="C61" s="2"/>
      <c r="D61" s="2"/>
      <c r="E61" s="2"/>
      <c r="F61" s="14"/>
      <c r="G61" s="14"/>
      <c r="H61" s="14"/>
      <c r="I61" s="14"/>
      <c r="O61" s="2"/>
      <c r="P61" s="13"/>
      <c r="Q61" s="13"/>
      <c r="R61" s="13"/>
      <c r="S61" s="13"/>
    </row>
    <row r="62" spans="2:53" ht="15" customHeight="1" x14ac:dyDescent="0.3">
      <c r="C62" s="2"/>
      <c r="D62" s="2" t="s">
        <v>217</v>
      </c>
      <c r="E62" s="156"/>
      <c r="F62" s="4" t="s">
        <v>118</v>
      </c>
      <c r="I62" s="156"/>
      <c r="J62" s="4" t="s">
        <v>119</v>
      </c>
      <c r="AL62" s="87">
        <f>IF(AND(ISBLANK(E62),ISBLANK(I62)),1,2)</f>
        <v>1</v>
      </c>
      <c r="AM62" s="87">
        <f>IF(ISBLANK(I62),1,2)</f>
        <v>1</v>
      </c>
    </row>
    <row r="63" spans="2:53" ht="4.95" customHeight="1" x14ac:dyDescent="0.3">
      <c r="B63" s="2"/>
      <c r="C63" s="2"/>
      <c r="D63" s="2"/>
      <c r="E63" s="2"/>
    </row>
    <row r="64" spans="2:53" ht="15" customHeight="1" x14ac:dyDescent="0.3">
      <c r="F64" s="6" t="s">
        <v>30</v>
      </c>
      <c r="G64" s="6"/>
      <c r="H64" s="6"/>
      <c r="I64" s="6"/>
      <c r="J64" s="6" t="s">
        <v>483</v>
      </c>
      <c r="K64" s="6"/>
      <c r="L64" s="6"/>
      <c r="M64" s="6"/>
      <c r="N64" s="6"/>
      <c r="O64" s="6" t="s">
        <v>484</v>
      </c>
      <c r="P64" s="6"/>
      <c r="Q64" s="6"/>
      <c r="R64" s="6"/>
      <c r="T64" s="6" t="s">
        <v>37</v>
      </c>
      <c r="U64" s="6"/>
      <c r="V64" s="6"/>
      <c r="Y64" s="6" t="s">
        <v>71</v>
      </c>
      <c r="Z64" s="6"/>
      <c r="AA64" s="6"/>
      <c r="AD64" s="6" t="s">
        <v>290</v>
      </c>
      <c r="AE64" s="6"/>
      <c r="AF64" s="6"/>
    </row>
    <row r="65" spans="2:45" ht="15" customHeight="1" x14ac:dyDescent="0.3">
      <c r="C65" s="2"/>
      <c r="D65" s="2" t="s">
        <v>229</v>
      </c>
      <c r="E65" s="199"/>
      <c r="F65" s="199"/>
      <c r="G65" s="199"/>
      <c r="H65" s="6"/>
      <c r="I65" s="183"/>
      <c r="J65" s="183"/>
      <c r="K65" s="183"/>
      <c r="L65" s="4" t="s">
        <v>38</v>
      </c>
      <c r="M65" s="6"/>
      <c r="N65" s="183"/>
      <c r="O65" s="183"/>
      <c r="P65" s="183"/>
      <c r="Q65" s="4" t="s">
        <v>38</v>
      </c>
      <c r="R65" s="13"/>
      <c r="S65" s="183"/>
      <c r="T65" s="183"/>
      <c r="U65" s="183"/>
      <c r="V65" s="4" t="s">
        <v>39</v>
      </c>
      <c r="X65" s="183"/>
      <c r="Y65" s="183"/>
      <c r="Z65" s="183"/>
      <c r="AA65" s="4" t="s">
        <v>39</v>
      </c>
      <c r="AC65" s="183"/>
      <c r="AD65" s="183"/>
      <c r="AE65" s="183"/>
      <c r="AF65" s="4" t="s">
        <v>289</v>
      </c>
      <c r="AL65" s="87">
        <f>IF(ISBLANK(E65),1,2)</f>
        <v>1</v>
      </c>
    </row>
    <row r="66" spans="2:45" ht="4.95" customHeight="1" x14ac:dyDescent="0.3"/>
    <row r="67" spans="2:45" ht="15" customHeight="1" x14ac:dyDescent="0.3">
      <c r="C67" s="2"/>
      <c r="D67" s="2" t="s">
        <v>230</v>
      </c>
      <c r="E67" s="199"/>
      <c r="F67" s="199"/>
      <c r="G67" s="199"/>
      <c r="H67" s="6"/>
      <c r="I67" s="183"/>
      <c r="J67" s="183"/>
      <c r="K67" s="183"/>
      <c r="L67" s="4" t="str">
        <f>IF(E67="V-notch","deg","in")</f>
        <v>in</v>
      </c>
      <c r="M67" s="6"/>
      <c r="N67" s="183"/>
      <c r="O67" s="183"/>
      <c r="P67" s="183"/>
      <c r="Q67" s="4" t="s">
        <v>38</v>
      </c>
      <c r="R67" s="13"/>
      <c r="S67" s="183"/>
      <c r="T67" s="183"/>
      <c r="U67" s="183"/>
      <c r="V67" s="4" t="s">
        <v>39</v>
      </c>
      <c r="X67" s="6"/>
      <c r="AE67" s="2" t="s">
        <v>275</v>
      </c>
      <c r="AF67" s="156"/>
      <c r="AG67" s="4" t="s">
        <v>118</v>
      </c>
      <c r="AI67" s="156"/>
      <c r="AJ67" s="4" t="s">
        <v>119</v>
      </c>
      <c r="AL67" s="87">
        <f>IF(ISBLANK(E67),1,2)</f>
        <v>1</v>
      </c>
      <c r="AM67" s="87">
        <f>IF(AND(ISBLANK(AF67),ISBLANK(AI67)),1,2)</f>
        <v>1</v>
      </c>
      <c r="AN67" s="87">
        <f>IF(ISBLANK(AI67),1,2)</f>
        <v>1</v>
      </c>
    </row>
    <row r="68" spans="2:45" ht="4.95" customHeight="1" x14ac:dyDescent="0.3">
      <c r="C68" s="2"/>
      <c r="D68" s="2"/>
      <c r="E68" s="2"/>
      <c r="K68" s="13"/>
      <c r="L68" s="13"/>
      <c r="M68" s="13"/>
      <c r="N68" s="6"/>
      <c r="P68" s="13"/>
      <c r="Q68" s="13"/>
      <c r="R68" s="13"/>
      <c r="S68" s="13"/>
      <c r="U68" s="13"/>
      <c r="V68" s="13"/>
      <c r="W68" s="13"/>
      <c r="X68" s="6"/>
    </row>
    <row r="69" spans="2:45" ht="15" customHeight="1" x14ac:dyDescent="0.3">
      <c r="C69" s="2"/>
      <c r="F69" s="6" t="s">
        <v>30</v>
      </c>
      <c r="G69" s="6"/>
      <c r="H69" s="6"/>
      <c r="I69" s="6"/>
      <c r="J69" s="6" t="s">
        <v>483</v>
      </c>
      <c r="K69" s="6"/>
      <c r="L69" s="6"/>
      <c r="M69" s="6"/>
      <c r="N69" s="6"/>
      <c r="O69" s="6" t="s">
        <v>484</v>
      </c>
      <c r="P69" s="6"/>
      <c r="Q69" s="6"/>
      <c r="R69" s="6"/>
      <c r="T69" s="6" t="s">
        <v>37</v>
      </c>
      <c r="U69" s="6"/>
      <c r="X69" s="82"/>
      <c r="AE69" s="2" t="s">
        <v>396</v>
      </c>
      <c r="AF69" s="156"/>
      <c r="AG69" s="4" t="s">
        <v>118</v>
      </c>
      <c r="AI69" s="156"/>
      <c r="AJ69" s="4" t="s">
        <v>119</v>
      </c>
      <c r="AL69" s="87">
        <f>IF(AND(ISBLANK(AF69),ISBLANK(AI69)),1,2)</f>
        <v>1</v>
      </c>
    </row>
    <row r="70" spans="2:45" ht="4.95" customHeight="1" x14ac:dyDescent="0.3">
      <c r="B70" s="2"/>
      <c r="C70" s="2"/>
      <c r="D70" s="2"/>
      <c r="E70" s="2"/>
      <c r="AQ70" s="72"/>
    </row>
    <row r="71" spans="2:45" ht="15" customHeight="1" x14ac:dyDescent="0.3">
      <c r="B71" s="205" t="s">
        <v>221</v>
      </c>
      <c r="C71" s="205"/>
      <c r="D71" s="205"/>
      <c r="E71" s="199"/>
      <c r="F71" s="199"/>
      <c r="G71" s="199"/>
      <c r="I71" s="183"/>
      <c r="J71" s="183"/>
      <c r="K71" s="183"/>
      <c r="L71" s="4" t="str">
        <f t="shared" ref="L71:L76" si="5">IF(E71="V-notch","deg","in")</f>
        <v>in</v>
      </c>
      <c r="N71" s="183"/>
      <c r="O71" s="183"/>
      <c r="P71" s="183"/>
      <c r="Q71" s="4" t="s">
        <v>38</v>
      </c>
      <c r="R71" s="13"/>
      <c r="S71" s="183"/>
      <c r="T71" s="183"/>
      <c r="U71" s="183"/>
      <c r="V71" s="4" t="s">
        <v>39</v>
      </c>
      <c r="AE71" s="2" t="s">
        <v>397</v>
      </c>
      <c r="AF71" s="156"/>
      <c r="AG71" s="4" t="s">
        <v>118</v>
      </c>
      <c r="AI71" s="156"/>
      <c r="AJ71" s="4" t="s">
        <v>119</v>
      </c>
      <c r="AL71" s="87">
        <f>IF(B71="None: ",3,IF(OR(B71="Orifice: ",B71="Weir: "),2,1))</f>
        <v>1</v>
      </c>
      <c r="AN71" s="87">
        <f>IF(AND(ISBLANK(AF71),ISBLANK(AI71)),1,2)</f>
        <v>1</v>
      </c>
      <c r="AQ71" s="72" t="s">
        <v>504</v>
      </c>
      <c r="AR71" s="42" t="s">
        <v>506</v>
      </c>
    </row>
    <row r="72" spans="2:45" ht="15" customHeight="1" x14ac:dyDescent="0.3">
      <c r="B72" s="205" t="s">
        <v>221</v>
      </c>
      <c r="C72" s="205"/>
      <c r="D72" s="205"/>
      <c r="E72" s="199"/>
      <c r="F72" s="199"/>
      <c r="G72" s="199"/>
      <c r="I72" s="193"/>
      <c r="J72" s="193"/>
      <c r="K72" s="193"/>
      <c r="L72" s="4" t="str">
        <f t="shared" si="5"/>
        <v>in</v>
      </c>
      <c r="N72" s="193"/>
      <c r="O72" s="193"/>
      <c r="P72" s="193"/>
      <c r="Q72" s="4" t="s">
        <v>38</v>
      </c>
      <c r="R72" s="13"/>
      <c r="S72" s="193"/>
      <c r="T72" s="193"/>
      <c r="U72" s="193"/>
      <c r="V72" s="4" t="s">
        <v>39</v>
      </c>
      <c r="AL72" s="87">
        <f t="shared" ref="AL72:AL76" si="6">IF(B72="None: ",3,IF(OR(B72="Orifice: ",B72="Weir: "),2,1))</f>
        <v>1</v>
      </c>
      <c r="AQ72" s="72">
        <v>1</v>
      </c>
      <c r="AR72" s="97">
        <v>1.5</v>
      </c>
    </row>
    <row r="73" spans="2:45" ht="15" customHeight="1" x14ac:dyDescent="0.3">
      <c r="B73" s="205" t="s">
        <v>221</v>
      </c>
      <c r="C73" s="205"/>
      <c r="D73" s="205"/>
      <c r="E73" s="196"/>
      <c r="F73" s="196"/>
      <c r="G73" s="196"/>
      <c r="I73" s="193"/>
      <c r="J73" s="193"/>
      <c r="K73" s="193"/>
      <c r="L73" s="4" t="str">
        <f t="shared" si="5"/>
        <v>in</v>
      </c>
      <c r="N73" s="193"/>
      <c r="O73" s="193"/>
      <c r="P73" s="193"/>
      <c r="Q73" s="4" t="s">
        <v>38</v>
      </c>
      <c r="R73" s="13"/>
      <c r="S73" s="193"/>
      <c r="T73" s="193"/>
      <c r="U73" s="193"/>
      <c r="V73" s="4" t="s">
        <v>39</v>
      </c>
      <c r="AL73" s="87">
        <f t="shared" si="6"/>
        <v>1</v>
      </c>
      <c r="AQ73" s="72">
        <v>2</v>
      </c>
      <c r="AR73" s="97">
        <v>1.5</v>
      </c>
    </row>
    <row r="74" spans="2:45" ht="15" customHeight="1" x14ac:dyDescent="0.3">
      <c r="B74" s="205" t="s">
        <v>221</v>
      </c>
      <c r="C74" s="205"/>
      <c r="D74" s="205"/>
      <c r="E74" s="199"/>
      <c r="F74" s="199"/>
      <c r="G74" s="199"/>
      <c r="I74" s="193"/>
      <c r="J74" s="193"/>
      <c r="K74" s="193"/>
      <c r="L74" s="4" t="str">
        <f t="shared" si="5"/>
        <v>in</v>
      </c>
      <c r="N74" s="193"/>
      <c r="O74" s="193"/>
      <c r="P74" s="193"/>
      <c r="Q74" s="4" t="s">
        <v>38</v>
      </c>
      <c r="R74" s="13"/>
      <c r="S74" s="193"/>
      <c r="T74" s="193"/>
      <c r="U74" s="193"/>
      <c r="V74" s="4" t="s">
        <v>39</v>
      </c>
      <c r="AL74" s="87">
        <f t="shared" si="6"/>
        <v>1</v>
      </c>
      <c r="AQ74" s="72">
        <v>3</v>
      </c>
      <c r="AR74" s="97">
        <v>2.7</v>
      </c>
    </row>
    <row r="75" spans="2:45" ht="15" customHeight="1" x14ac:dyDescent="0.3">
      <c r="B75" s="205" t="s">
        <v>221</v>
      </c>
      <c r="C75" s="205"/>
      <c r="D75" s="205"/>
      <c r="E75" s="199"/>
      <c r="F75" s="199"/>
      <c r="G75" s="199"/>
      <c r="I75" s="183"/>
      <c r="J75" s="183"/>
      <c r="K75" s="183"/>
      <c r="L75" s="4" t="str">
        <f t="shared" si="5"/>
        <v>in</v>
      </c>
      <c r="N75" s="183"/>
      <c r="O75" s="183"/>
      <c r="P75" s="183"/>
      <c r="Q75" s="4" t="s">
        <v>38</v>
      </c>
      <c r="R75" s="13"/>
      <c r="S75" s="183"/>
      <c r="T75" s="183"/>
      <c r="U75" s="183"/>
      <c r="V75" s="4" t="s">
        <v>39</v>
      </c>
      <c r="AL75" s="87">
        <f t="shared" si="6"/>
        <v>1</v>
      </c>
      <c r="AQ75" s="72">
        <v>4</v>
      </c>
      <c r="AR75" s="97">
        <v>3.5</v>
      </c>
    </row>
    <row r="76" spans="2:45" ht="15" customHeight="1" x14ac:dyDescent="0.3">
      <c r="B76" s="205" t="s">
        <v>221</v>
      </c>
      <c r="C76" s="205"/>
      <c r="D76" s="205"/>
      <c r="E76" s="199"/>
      <c r="F76" s="199"/>
      <c r="G76" s="199"/>
      <c r="I76" s="183"/>
      <c r="J76" s="183"/>
      <c r="K76" s="183"/>
      <c r="L76" s="4" t="str">
        <f t="shared" si="5"/>
        <v>in</v>
      </c>
      <c r="N76" s="183"/>
      <c r="O76" s="183"/>
      <c r="P76" s="183"/>
      <c r="Q76" s="4" t="s">
        <v>38</v>
      </c>
      <c r="R76" s="13"/>
      <c r="S76" s="183"/>
      <c r="T76" s="183"/>
      <c r="U76" s="183"/>
      <c r="V76" s="4" t="s">
        <v>39</v>
      </c>
      <c r="AL76" s="87">
        <f t="shared" si="6"/>
        <v>1</v>
      </c>
      <c r="AQ76" s="72">
        <v>5</v>
      </c>
      <c r="AR76" s="97">
        <v>4.2</v>
      </c>
    </row>
    <row r="77" spans="2:45" ht="4.95" customHeight="1" x14ac:dyDescent="0.3">
      <c r="AR77" s="72"/>
    </row>
    <row r="78" spans="2:45" ht="15" customHeight="1" x14ac:dyDescent="0.3">
      <c r="B78" s="1" t="s">
        <v>374</v>
      </c>
      <c r="AE78" s="2" t="s">
        <v>495</v>
      </c>
      <c r="AF78" s="156"/>
      <c r="AG78" s="4" t="s">
        <v>118</v>
      </c>
      <c r="AI78" s="156"/>
      <c r="AJ78" s="16" t="s">
        <v>138</v>
      </c>
      <c r="AL78" s="87">
        <f>IF(AND(ISBLANK(AF78),ISBLANK(AI78)),1,2)</f>
        <v>1</v>
      </c>
      <c r="AM78" s="87">
        <f>IF(ISBLANK(AF78),1,3)</f>
        <v>1</v>
      </c>
      <c r="AN78" s="87">
        <f>IF(ISBLANK(AI78),1,2)</f>
        <v>1</v>
      </c>
      <c r="AQ78" s="72" t="s">
        <v>503</v>
      </c>
      <c r="AR78" s="72" t="s">
        <v>504</v>
      </c>
      <c r="AS78" s="72" t="s">
        <v>505</v>
      </c>
    </row>
    <row r="79" spans="2:45" ht="4.95" customHeight="1" x14ac:dyDescent="0.3">
      <c r="B79" s="1"/>
      <c r="AQ79" s="72"/>
    </row>
    <row r="80" spans="2:45" ht="15" customHeight="1" x14ac:dyDescent="0.3">
      <c r="C80" s="1"/>
      <c r="D80" s="1"/>
      <c r="E80" s="2" t="s">
        <v>376</v>
      </c>
      <c r="F80" s="199"/>
      <c r="G80" s="199"/>
      <c r="H80" s="199"/>
      <c r="I80" s="199"/>
      <c r="J80" s="199"/>
      <c r="K80" s="199"/>
      <c r="L80" s="199"/>
      <c r="M80" s="199"/>
      <c r="N80" s="199"/>
      <c r="T80" s="2" t="str">
        <f>IF(AQ80="Yes","Riprap Class: ","")</f>
        <v/>
      </c>
      <c r="U80" s="208"/>
      <c r="V80" s="208"/>
      <c r="W80" s="161"/>
      <c r="AE80" s="2" t="s">
        <v>137</v>
      </c>
      <c r="AF80" s="156"/>
      <c r="AG80" s="4" t="s">
        <v>118</v>
      </c>
      <c r="AI80" s="156"/>
      <c r="AJ80" s="16" t="s">
        <v>138</v>
      </c>
      <c r="AL80" s="87">
        <f>IF(ISBLANK(F80),1,0)</f>
        <v>1</v>
      </c>
      <c r="AM80" s="92">
        <f>SUM(AL80,AO80,AL82:AO82)</f>
        <v>6</v>
      </c>
      <c r="AN80" s="44"/>
      <c r="AO80" s="92">
        <f>IF(AND(ISBLANK(AF80),ISBLANK(AI80)),1,0)</f>
        <v>1</v>
      </c>
      <c r="AP80" s="87">
        <f>IF(ISBLANK(AI80),1,2)</f>
        <v>1</v>
      </c>
      <c r="AQ80" s="87" t="str">
        <f>IF(F80="Riprap apron","Yes","No")</f>
        <v>No</v>
      </c>
      <c r="AR80" s="87">
        <f>U80</f>
        <v>0</v>
      </c>
      <c r="AS80" s="89" t="e">
        <f>VLOOKUP(AR80,$AQ$72:$AR$76,2)</f>
        <v>#N/A</v>
      </c>
    </row>
    <row r="81" spans="2:43" ht="4.95" customHeight="1" x14ac:dyDescent="0.3">
      <c r="AN81" s="44"/>
      <c r="AO81" s="44"/>
      <c r="AP81" s="44"/>
      <c r="AQ81" s="72"/>
    </row>
    <row r="82" spans="2:43" ht="15" customHeight="1" x14ac:dyDescent="0.3">
      <c r="E82" s="2" t="s">
        <v>219</v>
      </c>
      <c r="F82" s="173"/>
      <c r="G82" s="173"/>
      <c r="H82" s="173"/>
      <c r="I82" s="4" t="s">
        <v>39</v>
      </c>
      <c r="L82" s="2" t="s">
        <v>215</v>
      </c>
      <c r="M82" s="173"/>
      <c r="N82" s="173"/>
      <c r="O82" s="173"/>
      <c r="P82" s="4" t="s">
        <v>39</v>
      </c>
      <c r="T82" s="2" t="s">
        <v>375</v>
      </c>
      <c r="U82" s="183"/>
      <c r="V82" s="183"/>
      <c r="W82" s="183"/>
      <c r="X82" s="4" t="s">
        <v>39</v>
      </c>
      <c r="AE82" s="2" t="s">
        <v>382</v>
      </c>
      <c r="AF82" s="156"/>
      <c r="AG82" s="4" t="s">
        <v>118</v>
      </c>
      <c r="AI82" s="156"/>
      <c r="AJ82" s="16" t="s">
        <v>138</v>
      </c>
      <c r="AL82" s="87">
        <f>IF(ISBLANK(F82),1,0)</f>
        <v>1</v>
      </c>
      <c r="AM82" s="87">
        <f>IF(ISBLANK(M82),1,0)</f>
        <v>1</v>
      </c>
      <c r="AN82" s="87">
        <f>IF(ISBLANK(U82),1,0)</f>
        <v>1</v>
      </c>
      <c r="AO82" s="92">
        <f>IF(AND(ISBLANK(AF82),ISBLANK(AI82)),1,0)</f>
        <v>1</v>
      </c>
      <c r="AP82" s="87">
        <f>IF(ISBLANK(AI82),1,2)</f>
        <v>1</v>
      </c>
      <c r="AQ82" s="87">
        <f>IF(ISBLANK(U82),1,IF(U82&lt;AS80,2,3))</f>
        <v>1</v>
      </c>
    </row>
    <row r="83" spans="2:43" ht="15" customHeight="1" x14ac:dyDescent="0.3">
      <c r="AQ83" s="72"/>
    </row>
    <row r="84" spans="2:43" ht="15" customHeight="1" x14ac:dyDescent="0.3">
      <c r="B84" s="1" t="s">
        <v>337</v>
      </c>
      <c r="C84" s="1"/>
      <c r="D84" s="1"/>
      <c r="E84" s="1"/>
      <c r="F84" s="1"/>
      <c r="G84" s="1"/>
      <c r="H84" s="1"/>
      <c r="I84" s="1"/>
      <c r="J84" s="1"/>
      <c r="AE84" s="2" t="s">
        <v>137</v>
      </c>
      <c r="AF84" s="156"/>
      <c r="AG84" s="4" t="s">
        <v>118</v>
      </c>
      <c r="AI84" s="156"/>
      <c r="AJ84" s="16" t="s">
        <v>138</v>
      </c>
      <c r="AL84" s="92">
        <f>IF(AND(ISBLANK(AF84),ISBLANK(AI84)),1,2)</f>
        <v>1</v>
      </c>
      <c r="AM84" s="87">
        <f>SUM(AM85:AM87,AO85:AO87)</f>
        <v>0</v>
      </c>
      <c r="AN84" s="42" t="s">
        <v>74</v>
      </c>
      <c r="AQ84" s="87">
        <f>IF(ISBLANK(AI84),1,2)</f>
        <v>1</v>
      </c>
    </row>
    <row r="85" spans="2:43" ht="15" customHeight="1" x14ac:dyDescent="0.3">
      <c r="C85" s="2"/>
      <c r="E85" s="2" t="s">
        <v>213</v>
      </c>
      <c r="F85" s="199"/>
      <c r="G85" s="199"/>
      <c r="H85" s="199"/>
      <c r="I85" s="199"/>
      <c r="N85" s="2" t="s">
        <v>218</v>
      </c>
      <c r="O85" s="199"/>
      <c r="P85" s="199"/>
      <c r="Q85" s="199"/>
      <c r="AL85" s="44" t="s">
        <v>46</v>
      </c>
      <c r="AM85" s="87">
        <f>IF(ISBLANK(F86),0,1)</f>
        <v>0</v>
      </c>
      <c r="AN85" s="44" t="s">
        <v>20</v>
      </c>
      <c r="AO85" s="87">
        <f>IF(ISBLANK(F85),0,1)</f>
        <v>0</v>
      </c>
    </row>
    <row r="86" spans="2:43" ht="15" customHeight="1" x14ac:dyDescent="0.3">
      <c r="C86" s="2"/>
      <c r="E86" s="2" t="s">
        <v>215</v>
      </c>
      <c r="F86" s="193"/>
      <c r="G86" s="193"/>
      <c r="H86" s="193"/>
      <c r="I86" s="4" t="s">
        <v>39</v>
      </c>
      <c r="N86" s="2" t="s">
        <v>219</v>
      </c>
      <c r="O86" s="193"/>
      <c r="P86" s="193"/>
      <c r="Q86" s="193"/>
      <c r="R86" s="4" t="s">
        <v>39</v>
      </c>
      <c r="V86" s="2" t="s">
        <v>224</v>
      </c>
      <c r="W86" s="183"/>
      <c r="X86" s="183"/>
      <c r="Y86" s="183"/>
      <c r="Z86" s="4" t="s">
        <v>39</v>
      </c>
      <c r="AE86" s="2" t="s">
        <v>225</v>
      </c>
      <c r="AF86" s="183"/>
      <c r="AG86" s="183"/>
      <c r="AH86" s="183"/>
      <c r="AI86" s="4" t="s">
        <v>39</v>
      </c>
      <c r="AL86" s="44" t="s">
        <v>71</v>
      </c>
      <c r="AM86" s="87">
        <f>IF(ISBLANK(O86),0,1)</f>
        <v>0</v>
      </c>
      <c r="AN86" s="44" t="s">
        <v>30</v>
      </c>
      <c r="AO86" s="87">
        <f>IF(ISBLANK(O85),0,1)</f>
        <v>0</v>
      </c>
    </row>
    <row r="87" spans="2:43" ht="15" customHeight="1" x14ac:dyDescent="0.3">
      <c r="B87" s="2"/>
      <c r="C87" s="2"/>
      <c r="D87" s="2"/>
      <c r="E87" s="2"/>
      <c r="F87" s="2"/>
      <c r="G87" s="2"/>
      <c r="H87" s="2"/>
      <c r="I87" s="2"/>
      <c r="J87" s="2"/>
      <c r="K87" s="2"/>
      <c r="L87" s="2"/>
      <c r="M87" s="2"/>
      <c r="N87" s="2"/>
      <c r="P87" s="2"/>
      <c r="Q87" s="2"/>
      <c r="R87" s="2"/>
      <c r="S87" s="2"/>
      <c r="T87" s="2"/>
      <c r="U87" s="2"/>
      <c r="V87" s="2"/>
      <c r="W87" s="2"/>
      <c r="X87" s="2"/>
      <c r="Z87" s="2"/>
      <c r="AA87" s="2"/>
      <c r="AB87" s="2"/>
      <c r="AC87" s="2"/>
      <c r="AD87" s="2"/>
      <c r="AE87" s="2"/>
      <c r="AF87" s="2"/>
      <c r="AG87" s="2"/>
      <c r="AH87" s="2"/>
      <c r="AI87" s="2"/>
      <c r="AJ87" s="2"/>
      <c r="AK87" s="2"/>
      <c r="AL87" s="44" t="s">
        <v>72</v>
      </c>
      <c r="AM87" s="87">
        <f>IF(ISBLANK(W86),0,1)</f>
        <v>0</v>
      </c>
      <c r="AN87" s="44" t="s">
        <v>73</v>
      </c>
      <c r="AO87" s="87">
        <f>IF(ISBLANK(AF86),0,1)</f>
        <v>0</v>
      </c>
    </row>
    <row r="88" spans="2:43" ht="15" customHeight="1" x14ac:dyDescent="0.3">
      <c r="B88" s="1" t="s">
        <v>14</v>
      </c>
      <c r="C88" s="1"/>
      <c r="D88" s="1"/>
      <c r="E88" s="1"/>
      <c r="N88" s="10" t="s">
        <v>157</v>
      </c>
      <c r="O88" s="206"/>
      <c r="P88" s="206"/>
      <c r="Q88" s="206"/>
      <c r="R88" s="206"/>
      <c r="V88" s="2" t="s">
        <v>158</v>
      </c>
      <c r="W88" s="207"/>
      <c r="X88" s="207"/>
      <c r="Y88" s="207"/>
      <c r="Z88" s="207"/>
      <c r="AL88" s="44" t="s">
        <v>141</v>
      </c>
      <c r="AM88" s="87">
        <f>AO88+AQ88</f>
        <v>0</v>
      </c>
      <c r="AN88" s="44" t="s">
        <v>139</v>
      </c>
      <c r="AO88" s="87">
        <f>IF(ISBLANK(O88),0,1)</f>
        <v>0</v>
      </c>
      <c r="AP88" s="44" t="s">
        <v>140</v>
      </c>
      <c r="AQ88" s="87">
        <f>IF(ISBLANK(W88),0,1)</f>
        <v>0</v>
      </c>
    </row>
    <row r="89" spans="2:43" ht="15" customHeight="1" x14ac:dyDescent="0.3">
      <c r="B89" s="1"/>
      <c r="C89" s="1"/>
      <c r="D89" s="1"/>
      <c r="E89" s="1"/>
      <c r="AL89" s="44"/>
      <c r="AM89" s="44"/>
      <c r="AN89" s="44" t="s">
        <v>341</v>
      </c>
      <c r="AO89" s="87">
        <f>IF(ISBLANK(O88),1,IF(ISTEXT(O88)=TRUE,3,2))</f>
        <v>1</v>
      </c>
      <c r="AP89" s="44" t="s">
        <v>342</v>
      </c>
      <c r="AQ89" s="87">
        <f>IF(ISBLANK(W88),1,IF(ISTEXT(W88)=TRUE,3,2))</f>
        <v>1</v>
      </c>
    </row>
    <row r="90" spans="2:43" ht="19.95" customHeight="1" x14ac:dyDescent="0.3">
      <c r="B90" s="1" t="s">
        <v>319</v>
      </c>
      <c r="C90" s="1"/>
      <c r="D90" s="1"/>
      <c r="E90" s="1"/>
      <c r="F90" s="1"/>
      <c r="G90" s="1"/>
      <c r="H90" s="1"/>
      <c r="I90" s="1"/>
      <c r="J90" s="1"/>
      <c r="AM90" s="44"/>
      <c r="AN90" s="44"/>
      <c r="AO90" s="44"/>
      <c r="AP90" s="44"/>
    </row>
    <row r="91" spans="2:43" ht="15" customHeight="1" x14ac:dyDescent="0.3">
      <c r="D91" s="6" t="s">
        <v>15</v>
      </c>
      <c r="G91" s="6"/>
      <c r="H91" s="6"/>
      <c r="I91" s="6" t="s">
        <v>16</v>
      </c>
      <c r="L91" s="6"/>
      <c r="M91" s="4" t="s">
        <v>45</v>
      </c>
      <c r="N91" s="6"/>
      <c r="T91" s="6" t="s">
        <v>15</v>
      </c>
      <c r="Y91" s="6" t="s">
        <v>16</v>
      </c>
      <c r="AA91" s="6"/>
      <c r="AB91" s="6"/>
      <c r="AC91" s="6"/>
      <c r="AD91" s="4" t="s">
        <v>45</v>
      </c>
      <c r="AF91" s="6"/>
      <c r="AG91" s="6"/>
      <c r="AH91" s="6"/>
      <c r="AL91" s="44"/>
      <c r="AM91" s="44"/>
      <c r="AN91" s="44"/>
      <c r="AO91" s="44"/>
      <c r="AP91" s="44"/>
    </row>
    <row r="92" spans="2:43" ht="15" customHeight="1" x14ac:dyDescent="0.3">
      <c r="C92" s="183"/>
      <c r="D92" s="183"/>
      <c r="E92" s="183"/>
      <c r="F92" s="4" t="s">
        <v>39</v>
      </c>
      <c r="H92" s="191"/>
      <c r="I92" s="191"/>
      <c r="J92" s="191"/>
      <c r="K92" s="4" t="s">
        <v>35</v>
      </c>
      <c r="M92" s="191"/>
      <c r="N92" s="191"/>
      <c r="O92" s="191"/>
      <c r="P92" s="191"/>
      <c r="Q92" s="4" t="s">
        <v>33</v>
      </c>
      <c r="S92" s="183"/>
      <c r="T92" s="183"/>
      <c r="U92" s="183"/>
      <c r="V92" s="4" t="s">
        <v>39</v>
      </c>
      <c r="X92" s="191"/>
      <c r="Y92" s="191"/>
      <c r="Z92" s="191"/>
      <c r="AA92" s="4" t="s">
        <v>35</v>
      </c>
      <c r="AD92" s="191"/>
      <c r="AE92" s="191"/>
      <c r="AF92" s="191"/>
      <c r="AG92" s="191"/>
      <c r="AH92" s="4" t="s">
        <v>33</v>
      </c>
      <c r="AL92" s="87">
        <f t="shared" ref="AL92:AL98" si="7">IF(ISBLANK(C92),1,2)</f>
        <v>1</v>
      </c>
      <c r="AM92" s="87">
        <f t="shared" ref="AM92:AM98" si="8">IF(ISBLANK(S92),1,2)</f>
        <v>1</v>
      </c>
      <c r="AN92" s="87">
        <f>IF(ISBLANK(H92),1,2)</f>
        <v>1</v>
      </c>
      <c r="AO92" s="87">
        <f>IF(ISBLANK(M92),1,2)</f>
        <v>1</v>
      </c>
      <c r="AP92" s="44"/>
    </row>
    <row r="93" spans="2:43" ht="15" customHeight="1" x14ac:dyDescent="0.3">
      <c r="C93" s="193"/>
      <c r="D93" s="193"/>
      <c r="E93" s="193"/>
      <c r="F93" s="4" t="s">
        <v>39</v>
      </c>
      <c r="H93" s="184"/>
      <c r="I93" s="184"/>
      <c r="J93" s="184"/>
      <c r="K93" s="4" t="s">
        <v>35</v>
      </c>
      <c r="M93" s="184"/>
      <c r="N93" s="184"/>
      <c r="O93" s="184"/>
      <c r="P93" s="184"/>
      <c r="Q93" s="4" t="s">
        <v>33</v>
      </c>
      <c r="S93" s="193"/>
      <c r="T93" s="193"/>
      <c r="U93" s="193"/>
      <c r="V93" s="4" t="s">
        <v>39</v>
      </c>
      <c r="X93" s="184"/>
      <c r="Y93" s="184"/>
      <c r="Z93" s="184"/>
      <c r="AA93" s="4" t="s">
        <v>35</v>
      </c>
      <c r="AD93" s="184"/>
      <c r="AE93" s="184"/>
      <c r="AF93" s="184"/>
      <c r="AG93" s="184"/>
      <c r="AH93" s="4" t="s">
        <v>33</v>
      </c>
      <c r="AL93" s="87">
        <f t="shared" si="7"/>
        <v>1</v>
      </c>
      <c r="AM93" s="87">
        <f t="shared" si="8"/>
        <v>1</v>
      </c>
      <c r="AO93" s="44"/>
      <c r="AP93" s="44"/>
    </row>
    <row r="94" spans="2:43" ht="15" customHeight="1" x14ac:dyDescent="0.3">
      <c r="C94" s="193"/>
      <c r="D94" s="193"/>
      <c r="E94" s="193"/>
      <c r="F94" s="4" t="s">
        <v>39</v>
      </c>
      <c r="H94" s="184"/>
      <c r="I94" s="184"/>
      <c r="J94" s="184"/>
      <c r="K94" s="4" t="s">
        <v>35</v>
      </c>
      <c r="M94" s="184"/>
      <c r="N94" s="184"/>
      <c r="O94" s="184"/>
      <c r="P94" s="184"/>
      <c r="Q94" s="4" t="s">
        <v>33</v>
      </c>
      <c r="S94" s="193"/>
      <c r="T94" s="193"/>
      <c r="U94" s="193"/>
      <c r="V94" s="4" t="s">
        <v>39</v>
      </c>
      <c r="X94" s="184"/>
      <c r="Y94" s="184"/>
      <c r="Z94" s="184"/>
      <c r="AA94" s="4" t="s">
        <v>35</v>
      </c>
      <c r="AD94" s="184"/>
      <c r="AE94" s="184"/>
      <c r="AF94" s="184"/>
      <c r="AG94" s="184"/>
      <c r="AH94" s="4" t="s">
        <v>33</v>
      </c>
      <c r="AL94" s="87">
        <f t="shared" si="7"/>
        <v>1</v>
      </c>
      <c r="AM94" s="87">
        <f t="shared" si="8"/>
        <v>1</v>
      </c>
      <c r="AO94" s="44"/>
      <c r="AP94" s="44"/>
    </row>
    <row r="95" spans="2:43" ht="15" customHeight="1" x14ac:dyDescent="0.3">
      <c r="C95" s="193"/>
      <c r="D95" s="193"/>
      <c r="E95" s="193"/>
      <c r="F95" s="4" t="s">
        <v>39</v>
      </c>
      <c r="H95" s="184"/>
      <c r="I95" s="184"/>
      <c r="J95" s="184"/>
      <c r="K95" s="4" t="s">
        <v>35</v>
      </c>
      <c r="M95" s="184"/>
      <c r="N95" s="184"/>
      <c r="O95" s="184"/>
      <c r="P95" s="184"/>
      <c r="Q95" s="4" t="s">
        <v>33</v>
      </c>
      <c r="S95" s="193"/>
      <c r="T95" s="193"/>
      <c r="U95" s="193"/>
      <c r="V95" s="4" t="s">
        <v>39</v>
      </c>
      <c r="X95" s="184"/>
      <c r="Y95" s="184"/>
      <c r="Z95" s="184"/>
      <c r="AA95" s="4" t="s">
        <v>35</v>
      </c>
      <c r="AD95" s="184"/>
      <c r="AE95" s="184"/>
      <c r="AF95" s="184"/>
      <c r="AG95" s="184"/>
      <c r="AH95" s="4" t="s">
        <v>33</v>
      </c>
      <c r="AL95" s="87">
        <f t="shared" si="7"/>
        <v>1</v>
      </c>
      <c r="AM95" s="87">
        <f t="shared" si="8"/>
        <v>1</v>
      </c>
      <c r="AO95" s="44"/>
      <c r="AP95" s="44"/>
    </row>
    <row r="96" spans="2:43" ht="15" customHeight="1" x14ac:dyDescent="0.3">
      <c r="C96" s="193"/>
      <c r="D96" s="193"/>
      <c r="E96" s="193"/>
      <c r="F96" s="4" t="s">
        <v>39</v>
      </c>
      <c r="H96" s="184"/>
      <c r="I96" s="184"/>
      <c r="J96" s="184"/>
      <c r="K96" s="4" t="s">
        <v>35</v>
      </c>
      <c r="M96" s="184"/>
      <c r="N96" s="184"/>
      <c r="O96" s="184"/>
      <c r="P96" s="184"/>
      <c r="Q96" s="4" t="s">
        <v>33</v>
      </c>
      <c r="S96" s="193"/>
      <c r="T96" s="193"/>
      <c r="U96" s="193"/>
      <c r="V96" s="4" t="s">
        <v>39</v>
      </c>
      <c r="X96" s="184"/>
      <c r="Y96" s="184"/>
      <c r="Z96" s="184"/>
      <c r="AA96" s="4" t="s">
        <v>35</v>
      </c>
      <c r="AD96" s="184"/>
      <c r="AE96" s="184"/>
      <c r="AF96" s="184"/>
      <c r="AG96" s="184"/>
      <c r="AH96" s="4" t="s">
        <v>33</v>
      </c>
      <c r="AL96" s="87">
        <f t="shared" si="7"/>
        <v>1</v>
      </c>
      <c r="AM96" s="87">
        <f t="shared" si="8"/>
        <v>1</v>
      </c>
    </row>
    <row r="97" spans="2:46" ht="15" customHeight="1" x14ac:dyDescent="0.3">
      <c r="C97" s="193"/>
      <c r="D97" s="193"/>
      <c r="E97" s="193"/>
      <c r="F97" s="4" t="s">
        <v>39</v>
      </c>
      <c r="H97" s="184"/>
      <c r="I97" s="184"/>
      <c r="J97" s="184"/>
      <c r="K97" s="4" t="s">
        <v>35</v>
      </c>
      <c r="M97" s="184"/>
      <c r="N97" s="184"/>
      <c r="O97" s="184"/>
      <c r="P97" s="184"/>
      <c r="Q97" s="4" t="s">
        <v>33</v>
      </c>
      <c r="S97" s="193"/>
      <c r="T97" s="193"/>
      <c r="U97" s="193"/>
      <c r="V97" s="4" t="s">
        <v>39</v>
      </c>
      <c r="X97" s="184"/>
      <c r="Y97" s="184"/>
      <c r="Z97" s="184"/>
      <c r="AA97" s="4" t="s">
        <v>35</v>
      </c>
      <c r="AD97" s="184"/>
      <c r="AE97" s="184"/>
      <c r="AF97" s="184"/>
      <c r="AG97" s="184"/>
      <c r="AH97" s="4" t="s">
        <v>33</v>
      </c>
      <c r="AL97" s="87">
        <f t="shared" si="7"/>
        <v>1</v>
      </c>
      <c r="AM97" s="87">
        <f t="shared" si="8"/>
        <v>1</v>
      </c>
    </row>
    <row r="98" spans="2:46" ht="15" customHeight="1" x14ac:dyDescent="0.3">
      <c r="C98" s="193"/>
      <c r="D98" s="193"/>
      <c r="E98" s="193"/>
      <c r="F98" s="4" t="s">
        <v>39</v>
      </c>
      <c r="H98" s="184"/>
      <c r="I98" s="184"/>
      <c r="J98" s="184"/>
      <c r="K98" s="4" t="s">
        <v>35</v>
      </c>
      <c r="M98" s="184"/>
      <c r="N98" s="184"/>
      <c r="O98" s="184"/>
      <c r="P98" s="184"/>
      <c r="Q98" s="4" t="s">
        <v>33</v>
      </c>
      <c r="S98" s="193"/>
      <c r="T98" s="193"/>
      <c r="U98" s="193"/>
      <c r="V98" s="4" t="s">
        <v>39</v>
      </c>
      <c r="X98" s="184"/>
      <c r="Y98" s="184"/>
      <c r="Z98" s="184"/>
      <c r="AA98" s="4" t="s">
        <v>35</v>
      </c>
      <c r="AD98" s="184"/>
      <c r="AE98" s="184"/>
      <c r="AF98" s="184"/>
      <c r="AG98" s="184"/>
      <c r="AH98" s="4" t="s">
        <v>33</v>
      </c>
      <c r="AL98" s="87">
        <f t="shared" si="7"/>
        <v>1</v>
      </c>
      <c r="AM98" s="87">
        <f t="shared" si="8"/>
        <v>1</v>
      </c>
    </row>
    <row r="99" spans="2:46" ht="15" customHeight="1" x14ac:dyDescent="0.3">
      <c r="G99" s="14" t="s">
        <v>226</v>
      </c>
      <c r="H99" s="204">
        <f>$W$21</f>
        <v>0</v>
      </c>
      <c r="I99" s="204"/>
      <c r="J99" s="204"/>
      <c r="K99" s="4" t="s">
        <v>33</v>
      </c>
      <c r="P99" s="15"/>
      <c r="Q99" s="12"/>
      <c r="R99" s="14" t="s">
        <v>227</v>
      </c>
      <c r="S99" s="184"/>
      <c r="T99" s="184"/>
      <c r="U99" s="184"/>
      <c r="V99" s="4" t="s">
        <v>33</v>
      </c>
      <c r="AC99" s="12" t="s">
        <v>479</v>
      </c>
      <c r="AD99" s="170"/>
      <c r="AE99" s="170"/>
      <c r="AF99" s="170"/>
      <c r="AG99" s="170"/>
      <c r="AH99" s="4" t="s">
        <v>39</v>
      </c>
      <c r="AL99" s="44" t="s">
        <v>144</v>
      </c>
      <c r="AM99" s="87" t="str">
        <f>IF(ISBLANK(S99),"",IF(ISTEXT(S99),2,IF(OR(S99=H99,S99&gt;H99),1,2)))</f>
        <v/>
      </c>
      <c r="AN99" s="87">
        <f>IF(ISTEXT(S99),2,0)</f>
        <v>0</v>
      </c>
      <c r="AO99" s="87">
        <f>IF(ISTEXT(AD99),2,0)</f>
        <v>0</v>
      </c>
      <c r="AP99" s="87">
        <f>IF(OR(ISBLANK(H99),ISBLANK(S99)),2,1)</f>
        <v>2</v>
      </c>
    </row>
    <row r="100" spans="2:46" ht="15" customHeight="1" x14ac:dyDescent="0.3"/>
    <row r="101" spans="2:46" ht="15" customHeight="1" x14ac:dyDescent="0.3">
      <c r="J101" s="2" t="s">
        <v>494</v>
      </c>
      <c r="K101" s="156"/>
      <c r="L101" s="4" t="s">
        <v>118</v>
      </c>
      <c r="N101" s="156"/>
      <c r="O101" s="16" t="s">
        <v>119</v>
      </c>
      <c r="AA101" s="2" t="s">
        <v>386</v>
      </c>
      <c r="AB101" s="183"/>
      <c r="AC101" s="183"/>
      <c r="AD101" s="4" t="s">
        <v>289</v>
      </c>
      <c r="AL101" s="92">
        <f>IF(AND(ISBLANK(K101),ISBLANK(N101)),1,0)</f>
        <v>1</v>
      </c>
      <c r="AM101" s="87">
        <f>IF(ISBLANK(N101),1,IF(AND(N101&gt;0,AB101&lt;2),2,1))</f>
        <v>1</v>
      </c>
      <c r="AN101" s="87">
        <f>IF(ISBLANK(AB101),0,IF(AB101&lt;AQ101,1,""))</f>
        <v>0</v>
      </c>
      <c r="AO101" s="87">
        <f>IF(ISBLANK(K101),1,3)</f>
        <v>1</v>
      </c>
      <c r="AQ101" s="87">
        <f>IF(AO101=3,1,Tables!$F$38)</f>
        <v>1</v>
      </c>
      <c r="AR101" s="42" t="s">
        <v>496</v>
      </c>
    </row>
    <row r="102" spans="2:46" ht="15" customHeight="1" x14ac:dyDescent="0.3"/>
    <row r="103" spans="2:46" ht="15" customHeight="1" x14ac:dyDescent="0.3">
      <c r="B103" s="216">
        <f>Tables!$F$13</f>
        <v>46266</v>
      </c>
      <c r="C103" s="216"/>
      <c r="D103" s="216"/>
      <c r="E103" s="216"/>
      <c r="F103" s="216"/>
      <c r="G103" s="216"/>
      <c r="H103" s="216"/>
      <c r="I103" s="68"/>
      <c r="R103" s="6" t="s">
        <v>250</v>
      </c>
    </row>
    <row r="104" spans="2:46" ht="15" customHeight="1" x14ac:dyDescent="0.3">
      <c r="C104" s="2" t="s">
        <v>129</v>
      </c>
      <c r="D104" s="171">
        <f>IF(ISBLANK($E$7),0,$E$7)</f>
        <v>0</v>
      </c>
      <c r="E104" s="171"/>
      <c r="F104" s="171"/>
      <c r="G104" s="171"/>
      <c r="H104" s="171"/>
      <c r="I104" s="171"/>
      <c r="J104" s="171"/>
      <c r="K104" s="171"/>
      <c r="L104" s="171"/>
      <c r="M104" s="171"/>
      <c r="N104" s="171"/>
      <c r="O104" s="171"/>
      <c r="P104" s="171"/>
      <c r="Q104" s="171"/>
      <c r="R104" s="171"/>
      <c r="S104" s="171"/>
      <c r="T104" s="171"/>
      <c r="U104" s="171"/>
      <c r="V104" s="171"/>
      <c r="W104" s="171"/>
      <c r="X104" s="171"/>
      <c r="Y104" s="171"/>
      <c r="AD104" s="2" t="s">
        <v>155</v>
      </c>
      <c r="AE104" s="172">
        <f>IF(ISBLANK($AE$7),0,$AE$7)</f>
        <v>0</v>
      </c>
      <c r="AF104" s="172"/>
      <c r="AG104" s="172"/>
      <c r="AH104" s="172"/>
      <c r="AI104" s="172"/>
      <c r="AJ104" s="172"/>
      <c r="AM104" s="44" t="s">
        <v>286</v>
      </c>
      <c r="AN104" s="92">
        <f>Tables!E28</f>
        <v>6</v>
      </c>
      <c r="AO104" s="96"/>
      <c r="AP104" s="96"/>
    </row>
    <row r="105" spans="2:46" ht="15" customHeight="1" x14ac:dyDescent="0.3">
      <c r="F105" s="3"/>
      <c r="G105" s="3"/>
      <c r="H105" s="3"/>
      <c r="I105" s="3"/>
      <c r="J105" s="3"/>
      <c r="K105" s="2"/>
      <c r="M105" s="2"/>
      <c r="N105" s="2"/>
      <c r="O105" s="3"/>
      <c r="P105" s="8"/>
      <c r="Q105" s="8"/>
      <c r="R105" s="8"/>
      <c r="S105" s="8"/>
      <c r="T105" s="8"/>
      <c r="U105" s="8"/>
      <c r="V105" s="8"/>
      <c r="W105" s="8"/>
      <c r="X105" s="8"/>
      <c r="Y105" s="8"/>
      <c r="Z105" s="8"/>
      <c r="AA105" s="8"/>
      <c r="AB105" s="8"/>
      <c r="AC105" s="8"/>
      <c r="AD105" s="2" t="s">
        <v>156</v>
      </c>
      <c r="AE105" s="169">
        <f>IF(ISBLANK($AE$8),0,$AE$8)</f>
        <v>0</v>
      </c>
      <c r="AF105" s="169"/>
      <c r="AG105" s="169"/>
      <c r="AH105" s="169"/>
      <c r="AI105" s="169"/>
      <c r="AJ105" s="169"/>
      <c r="AM105" s="72" t="s">
        <v>336</v>
      </c>
      <c r="AR105" s="72" t="s">
        <v>335</v>
      </c>
      <c r="AS105" s="72"/>
      <c r="AT105" s="72"/>
    </row>
    <row r="106" spans="2:46" ht="15" customHeight="1" x14ac:dyDescent="0.3">
      <c r="B106" s="1" t="s">
        <v>318</v>
      </c>
      <c r="Y106" s="185" t="s">
        <v>335</v>
      </c>
      <c r="Z106" s="185"/>
      <c r="AA106" s="185"/>
      <c r="AC106" s="185" t="s">
        <v>336</v>
      </c>
      <c r="AD106" s="185"/>
      <c r="AE106" s="185"/>
      <c r="AL106" s="72" t="s">
        <v>68</v>
      </c>
      <c r="AM106" s="72" t="s">
        <v>191</v>
      </c>
      <c r="AN106" s="72" t="s">
        <v>69</v>
      </c>
      <c r="AO106" s="72" t="s">
        <v>291</v>
      </c>
      <c r="AP106" s="72" t="s">
        <v>320</v>
      </c>
      <c r="AQ106" s="72" t="s">
        <v>242</v>
      </c>
      <c r="AR106" s="72" t="s">
        <v>191</v>
      </c>
      <c r="AS106" s="72"/>
      <c r="AT106" s="72"/>
    </row>
    <row r="107" spans="2:46" ht="30" customHeight="1" x14ac:dyDescent="0.3">
      <c r="G107" s="1"/>
      <c r="H107" s="1"/>
      <c r="I107" s="186" t="s">
        <v>55</v>
      </c>
      <c r="J107" s="186"/>
      <c r="K107" s="186"/>
      <c r="M107" s="186" t="s">
        <v>478</v>
      </c>
      <c r="N107" s="187"/>
      <c r="O107" s="187"/>
      <c r="P107" s="17"/>
      <c r="Q107" s="186" t="s">
        <v>56</v>
      </c>
      <c r="R107" s="186"/>
      <c r="S107" s="186"/>
      <c r="T107" s="17"/>
      <c r="U107" s="186" t="s">
        <v>199</v>
      </c>
      <c r="V107" s="186"/>
      <c r="W107" s="186"/>
      <c r="Y107" s="186" t="s">
        <v>171</v>
      </c>
      <c r="Z107" s="186"/>
      <c r="AA107" s="186"/>
      <c r="AC107" s="186" t="s">
        <v>171</v>
      </c>
      <c r="AD107" s="186"/>
      <c r="AE107" s="186"/>
      <c r="AG107" s="186" t="s">
        <v>57</v>
      </c>
      <c r="AH107" s="186"/>
      <c r="AI107" s="186"/>
      <c r="AJ107" s="186"/>
      <c r="AL107" s="87">
        <f>SUM(AL108:AL112)</f>
        <v>5</v>
      </c>
      <c r="AM107" s="87">
        <f>AM113</f>
        <v>1</v>
      </c>
      <c r="AN107" s="87">
        <f t="shared" ref="AN107:AR107" si="9">SUM(AN108:AN113)</f>
        <v>6</v>
      </c>
      <c r="AO107" s="87">
        <f t="shared" si="9"/>
        <v>0</v>
      </c>
      <c r="AP107" s="87">
        <f t="shared" si="9"/>
        <v>0</v>
      </c>
      <c r="AQ107" s="91">
        <f t="shared" si="9"/>
        <v>6</v>
      </c>
      <c r="AR107" s="87">
        <f t="shared" si="9"/>
        <v>6</v>
      </c>
      <c r="AS107" s="72"/>
      <c r="AT107" s="72"/>
    </row>
    <row r="108" spans="2:46" ht="15" customHeight="1" x14ac:dyDescent="0.3">
      <c r="B108" s="203">
        <f>Tables!$F$16</f>
        <v>6.02</v>
      </c>
      <c r="C108" s="203"/>
      <c r="D108" s="13"/>
      <c r="E108" s="13"/>
      <c r="G108" s="2" t="str">
        <f>Tables!$D$16</f>
        <v>(2-yr)</v>
      </c>
      <c r="H108" s="2"/>
      <c r="I108" s="173"/>
      <c r="J108" s="173"/>
      <c r="K108" s="173"/>
      <c r="M108" s="173"/>
      <c r="N108" s="173"/>
      <c r="O108" s="173"/>
      <c r="Q108" s="173"/>
      <c r="R108" s="173"/>
      <c r="S108" s="173"/>
      <c r="U108" s="173"/>
      <c r="V108" s="173"/>
      <c r="W108" s="173"/>
      <c r="Y108" s="173"/>
      <c r="Z108" s="173"/>
      <c r="AA108" s="173"/>
      <c r="AG108" s="173"/>
      <c r="AH108" s="173"/>
      <c r="AI108" s="173"/>
      <c r="AL108" s="87">
        <f>IF(OR(ISBLANK(U108),ISBLANK(W$86)),1,IF(U108&gt;W$86,1,0))</f>
        <v>1</v>
      </c>
      <c r="AM108" s="158"/>
      <c r="AN108" s="87">
        <f t="shared" ref="AN108:AN113" si="10">IF(OR(ISBLANK(AG108),ISBLANK(I108)),1,IF(AG108&gt;I108,1,0))</f>
        <v>1</v>
      </c>
      <c r="AO108" s="87">
        <f t="shared" ref="AO108:AO113" si="11">IF(OR($AN$126=0,$AN$144=2),0,IF(AG108&gt;$AN$126,1,0))</f>
        <v>0</v>
      </c>
      <c r="AP108" s="87">
        <f t="shared" ref="AP108:AP113" si="12">IF(OR($AN$128=0,$AN$144=2),0,IF($AG108&gt;$AN$128,1,0))</f>
        <v>0</v>
      </c>
      <c r="AQ108" s="91">
        <f t="shared" ref="AQ108:AQ113" si="13">IF(OR(ISBLANK(I108),ISBLANK(AG108)),1,IF(ISERROR(AG108-I108&gt;-0.5),0,IF(AG108-I108&gt;-0.5,1,0)))</f>
        <v>1</v>
      </c>
      <c r="AR108" s="87">
        <f t="shared" ref="AR108:AR113" si="14">IF(ISBLANK(Y108),1,IF(Y108&gt;$AM$114,1,0))</f>
        <v>1</v>
      </c>
      <c r="AS108" s="72"/>
      <c r="AT108" s="72"/>
    </row>
    <row r="109" spans="2:46" ht="15" customHeight="1" x14ac:dyDescent="0.3">
      <c r="B109" s="203">
        <f>Tables!$F$17</f>
        <v>7.68</v>
      </c>
      <c r="C109" s="203"/>
      <c r="D109" s="13"/>
      <c r="E109" s="13"/>
      <c r="G109" s="2" t="str">
        <f>Tables!$D$17</f>
        <v>(5-yr)</v>
      </c>
      <c r="H109" s="2"/>
      <c r="I109" s="170"/>
      <c r="J109" s="170"/>
      <c r="K109" s="170"/>
      <c r="M109" s="170"/>
      <c r="N109" s="170"/>
      <c r="O109" s="170"/>
      <c r="Q109" s="170"/>
      <c r="R109" s="170"/>
      <c r="S109" s="170"/>
      <c r="U109" s="170"/>
      <c r="V109" s="170"/>
      <c r="W109" s="170"/>
      <c r="Y109" s="170"/>
      <c r="Z109" s="170"/>
      <c r="AA109" s="170"/>
      <c r="AG109" s="170"/>
      <c r="AH109" s="170"/>
      <c r="AI109" s="170"/>
      <c r="AL109" s="87">
        <f>IF(OR(ISBLANK(U109),ISBLANK(W$86)),1,IF(U109&gt;W$86,1,0))</f>
        <v>1</v>
      </c>
      <c r="AM109" s="159"/>
      <c r="AN109" s="87">
        <f t="shared" si="10"/>
        <v>1</v>
      </c>
      <c r="AO109" s="87">
        <f t="shared" si="11"/>
        <v>0</v>
      </c>
      <c r="AP109" s="87">
        <f t="shared" si="12"/>
        <v>0</v>
      </c>
      <c r="AQ109" s="91">
        <f t="shared" si="13"/>
        <v>1</v>
      </c>
      <c r="AR109" s="87">
        <f t="shared" si="14"/>
        <v>1</v>
      </c>
      <c r="AS109" s="72"/>
      <c r="AT109" s="72"/>
    </row>
    <row r="110" spans="2:46" ht="15" customHeight="1" x14ac:dyDescent="0.3">
      <c r="B110" s="203">
        <f>Tables!$F$18</f>
        <v>9.26</v>
      </c>
      <c r="C110" s="203"/>
      <c r="D110" s="13"/>
      <c r="E110" s="13"/>
      <c r="G110" s="2" t="str">
        <f>Tables!$D$18</f>
        <v>(10-yr)</v>
      </c>
      <c r="H110" s="2"/>
      <c r="I110" s="170"/>
      <c r="J110" s="170"/>
      <c r="K110" s="170"/>
      <c r="M110" s="170"/>
      <c r="N110" s="170"/>
      <c r="O110" s="170"/>
      <c r="Q110" s="170"/>
      <c r="R110" s="170"/>
      <c r="S110" s="170"/>
      <c r="U110" s="170"/>
      <c r="V110" s="170"/>
      <c r="W110" s="170"/>
      <c r="Y110" s="170"/>
      <c r="Z110" s="170"/>
      <c r="AA110" s="170"/>
      <c r="AG110" s="170"/>
      <c r="AH110" s="170"/>
      <c r="AI110" s="170"/>
      <c r="AL110" s="87">
        <f>IF(OR(ISBLANK(U110),ISBLANK(W$86)),1,IF(U110&gt;W$86,1,0))</f>
        <v>1</v>
      </c>
      <c r="AM110" s="159"/>
      <c r="AN110" s="87">
        <f t="shared" si="10"/>
        <v>1</v>
      </c>
      <c r="AO110" s="87">
        <f t="shared" si="11"/>
        <v>0</v>
      </c>
      <c r="AP110" s="87">
        <f t="shared" si="12"/>
        <v>0</v>
      </c>
      <c r="AQ110" s="91">
        <f t="shared" si="13"/>
        <v>1</v>
      </c>
      <c r="AR110" s="87">
        <f t="shared" si="14"/>
        <v>1</v>
      </c>
      <c r="AS110" s="72"/>
      <c r="AT110" s="72"/>
    </row>
    <row r="111" spans="2:46" ht="15" customHeight="1" x14ac:dyDescent="0.3">
      <c r="B111" s="203">
        <f>Tables!$F$19</f>
        <v>11.7</v>
      </c>
      <c r="C111" s="203"/>
      <c r="D111" s="13"/>
      <c r="E111" s="13"/>
      <c r="G111" s="2" t="str">
        <f>Tables!$D$19</f>
        <v>(25-yr)</v>
      </c>
      <c r="H111" s="2"/>
      <c r="I111" s="170"/>
      <c r="J111" s="170"/>
      <c r="K111" s="170"/>
      <c r="M111" s="170"/>
      <c r="N111" s="170"/>
      <c r="O111" s="170"/>
      <c r="Q111" s="170"/>
      <c r="R111" s="170"/>
      <c r="S111" s="170"/>
      <c r="U111" s="170"/>
      <c r="V111" s="170"/>
      <c r="W111" s="170"/>
      <c r="Y111" s="170"/>
      <c r="Z111" s="170"/>
      <c r="AA111" s="170"/>
      <c r="AG111" s="170"/>
      <c r="AH111" s="170"/>
      <c r="AI111" s="170"/>
      <c r="AL111" s="87">
        <f>IF(OR(ISBLANK(U111),ISBLANK(W$86)),1,IF(U111&gt;W$86,1,0))</f>
        <v>1</v>
      </c>
      <c r="AM111" s="159"/>
      <c r="AN111" s="87">
        <f t="shared" si="10"/>
        <v>1</v>
      </c>
      <c r="AO111" s="87">
        <f t="shared" si="11"/>
        <v>0</v>
      </c>
      <c r="AP111" s="87">
        <f t="shared" si="12"/>
        <v>0</v>
      </c>
      <c r="AQ111" s="91">
        <f t="shared" si="13"/>
        <v>1</v>
      </c>
      <c r="AR111" s="87">
        <f t="shared" si="14"/>
        <v>1</v>
      </c>
      <c r="AS111" s="72"/>
      <c r="AT111" s="72"/>
    </row>
    <row r="112" spans="2:46" ht="15" customHeight="1" x14ac:dyDescent="0.3">
      <c r="B112" s="203">
        <f>Tables!$F$20</f>
        <v>13.9</v>
      </c>
      <c r="C112" s="203"/>
      <c r="D112" s="13"/>
      <c r="E112" s="13"/>
      <c r="G112" s="2" t="str">
        <f>Tables!$D$20</f>
        <v>(50-yr)</v>
      </c>
      <c r="H112" s="2"/>
      <c r="I112" s="170"/>
      <c r="J112" s="170"/>
      <c r="K112" s="170"/>
      <c r="M112" s="170"/>
      <c r="N112" s="170"/>
      <c r="O112" s="170"/>
      <c r="Q112" s="170"/>
      <c r="R112" s="170"/>
      <c r="S112" s="170"/>
      <c r="U112" s="170"/>
      <c r="V112" s="170"/>
      <c r="W112" s="170"/>
      <c r="Y112" s="170"/>
      <c r="Z112" s="170"/>
      <c r="AA112" s="170"/>
      <c r="AG112" s="170"/>
      <c r="AH112" s="170"/>
      <c r="AI112" s="170"/>
      <c r="AL112" s="87">
        <f>IF(OR(ISBLANK(U112),ISBLANK(W$86)),1,IF(U112&gt;W$86,1,0))</f>
        <v>1</v>
      </c>
      <c r="AM112" s="160"/>
      <c r="AN112" s="87">
        <f t="shared" si="10"/>
        <v>1</v>
      </c>
      <c r="AO112" s="87">
        <f t="shared" si="11"/>
        <v>0</v>
      </c>
      <c r="AP112" s="87">
        <f t="shared" si="12"/>
        <v>0</v>
      </c>
      <c r="AQ112" s="91">
        <f t="shared" si="13"/>
        <v>1</v>
      </c>
      <c r="AR112" s="87">
        <f t="shared" si="14"/>
        <v>1</v>
      </c>
      <c r="AS112" s="72"/>
      <c r="AT112" s="72"/>
    </row>
    <row r="113" spans="2:46" ht="15" customHeight="1" x14ac:dyDescent="0.3">
      <c r="B113" s="203">
        <f>Tables!$F$21</f>
        <v>16.3</v>
      </c>
      <c r="C113" s="203"/>
      <c r="D113" s="13"/>
      <c r="E113" s="13"/>
      <c r="G113" s="2" t="str">
        <f>Tables!$D$21</f>
        <v>(100-yr)</v>
      </c>
      <c r="H113" s="2"/>
      <c r="I113" s="170"/>
      <c r="J113" s="170"/>
      <c r="K113" s="170"/>
      <c r="M113" s="170"/>
      <c r="N113" s="170"/>
      <c r="O113" s="170"/>
      <c r="Q113" s="170"/>
      <c r="R113" s="170"/>
      <c r="S113" s="170"/>
      <c r="U113" s="170"/>
      <c r="V113" s="170"/>
      <c r="W113" s="170"/>
      <c r="Y113" s="170"/>
      <c r="Z113" s="170"/>
      <c r="AA113" s="170"/>
      <c r="AC113" s="173"/>
      <c r="AD113" s="173"/>
      <c r="AE113" s="173"/>
      <c r="AG113" s="170"/>
      <c r="AH113" s="170"/>
      <c r="AI113" s="170"/>
      <c r="AL113" s="89">
        <f>IF(OR(ISBLANK($AF$86),ISBLANK(U113)),0,$AF$86-U113)</f>
        <v>0</v>
      </c>
      <c r="AM113" s="87">
        <f t="shared" ref="AM113" si="15">IF(ISBLANK(AC113),1,IF(AC113&gt;$AM$114,1,0))</f>
        <v>1</v>
      </c>
      <c r="AN113" s="87">
        <f t="shared" si="10"/>
        <v>1</v>
      </c>
      <c r="AO113" s="87">
        <f t="shared" si="11"/>
        <v>0</v>
      </c>
      <c r="AP113" s="87">
        <f t="shared" si="12"/>
        <v>0</v>
      </c>
      <c r="AQ113" s="91">
        <f t="shared" si="13"/>
        <v>1</v>
      </c>
      <c r="AR113" s="87">
        <f t="shared" si="14"/>
        <v>1</v>
      </c>
      <c r="AS113" s="72"/>
      <c r="AT113" s="72"/>
    </row>
    <row r="114" spans="2:46" ht="15" customHeight="1" x14ac:dyDescent="0.3">
      <c r="Q114" s="4" t="s">
        <v>450</v>
      </c>
      <c r="AC114" s="4" t="s">
        <v>451</v>
      </c>
      <c r="AL114" s="44" t="s">
        <v>239</v>
      </c>
      <c r="AM114" s="87">
        <f>Tables!F26</f>
        <v>6</v>
      </c>
      <c r="AN114" s="87">
        <f>IF(AND(ISBLANK(AG108),ISBLANK(AG109),ISBLANK(AG110),ISBLANK(AG111),ISBLANK(AG112),ISBLANK(AG113)),0,1)</f>
        <v>0</v>
      </c>
      <c r="AS114" s="72"/>
      <c r="AT114" s="72"/>
    </row>
    <row r="115" spans="2:46" ht="15" customHeight="1" x14ac:dyDescent="0.3">
      <c r="B115" s="9" t="s">
        <v>19</v>
      </c>
      <c r="C115" s="9"/>
      <c r="D115" s="9"/>
      <c r="E115" s="9"/>
      <c r="AK115" s="6"/>
    </row>
    <row r="116" spans="2:46" ht="15" customHeight="1" x14ac:dyDescent="0.3">
      <c r="B116" s="174"/>
      <c r="C116" s="175"/>
      <c r="D116" s="175"/>
      <c r="E116" s="175"/>
      <c r="F116" s="175"/>
      <c r="G116" s="175"/>
      <c r="H116" s="175"/>
      <c r="I116" s="175"/>
      <c r="J116" s="175"/>
      <c r="K116" s="175"/>
      <c r="L116" s="175"/>
      <c r="M116" s="175"/>
      <c r="N116" s="175"/>
      <c r="O116" s="175"/>
      <c r="P116" s="175"/>
      <c r="Q116" s="175"/>
      <c r="R116" s="175"/>
      <c r="S116" s="175"/>
      <c r="T116" s="175"/>
      <c r="U116" s="175"/>
      <c r="V116" s="175"/>
      <c r="W116" s="175"/>
      <c r="X116" s="175"/>
      <c r="Y116" s="175"/>
      <c r="Z116" s="175"/>
      <c r="AA116" s="175"/>
      <c r="AB116" s="175"/>
      <c r="AC116" s="175"/>
      <c r="AD116" s="175"/>
      <c r="AE116" s="175"/>
      <c r="AF116" s="175"/>
      <c r="AG116" s="175"/>
      <c r="AH116" s="175"/>
      <c r="AI116" s="175"/>
      <c r="AJ116" s="176"/>
      <c r="AK116" s="6"/>
      <c r="AM116" s="201" t="s">
        <v>327</v>
      </c>
      <c r="AN116" s="202"/>
    </row>
    <row r="117" spans="2:46" ht="15" customHeight="1" x14ac:dyDescent="0.3">
      <c r="B117" s="177"/>
      <c r="C117" s="178"/>
      <c r="D117" s="178"/>
      <c r="E117" s="178"/>
      <c r="F117" s="178"/>
      <c r="G117" s="178"/>
      <c r="H117" s="178"/>
      <c r="I117" s="178"/>
      <c r="J117" s="178"/>
      <c r="K117" s="178"/>
      <c r="L117" s="178"/>
      <c r="M117" s="178"/>
      <c r="N117" s="178"/>
      <c r="O117" s="178"/>
      <c r="P117" s="178"/>
      <c r="Q117" s="178"/>
      <c r="R117" s="178"/>
      <c r="S117" s="178"/>
      <c r="T117" s="178"/>
      <c r="U117" s="178"/>
      <c r="V117" s="178"/>
      <c r="W117" s="178"/>
      <c r="X117" s="178"/>
      <c r="Y117" s="178"/>
      <c r="Z117" s="178"/>
      <c r="AA117" s="178"/>
      <c r="AB117" s="178"/>
      <c r="AC117" s="178"/>
      <c r="AD117" s="178"/>
      <c r="AE117" s="178"/>
      <c r="AF117" s="178"/>
      <c r="AG117" s="178"/>
      <c r="AH117" s="178"/>
      <c r="AI117" s="178"/>
      <c r="AJ117" s="179"/>
      <c r="AK117" s="6"/>
      <c r="AM117" s="102" t="s">
        <v>324</v>
      </c>
      <c r="AN117" s="103" t="s">
        <v>145</v>
      </c>
    </row>
    <row r="118" spans="2:46" ht="15" customHeight="1" x14ac:dyDescent="0.3">
      <c r="B118" s="177"/>
      <c r="C118" s="178"/>
      <c r="D118" s="178"/>
      <c r="E118" s="178"/>
      <c r="F118" s="178"/>
      <c r="G118" s="178"/>
      <c r="H118" s="178"/>
      <c r="I118" s="178"/>
      <c r="J118" s="178"/>
      <c r="K118" s="178"/>
      <c r="L118" s="178"/>
      <c r="M118" s="178"/>
      <c r="N118" s="178"/>
      <c r="O118" s="178"/>
      <c r="P118" s="178"/>
      <c r="Q118" s="178"/>
      <c r="R118" s="178"/>
      <c r="S118" s="178"/>
      <c r="T118" s="178"/>
      <c r="U118" s="178"/>
      <c r="V118" s="178"/>
      <c r="W118" s="178"/>
      <c r="X118" s="178"/>
      <c r="Y118" s="178"/>
      <c r="Z118" s="178"/>
      <c r="AA118" s="178"/>
      <c r="AB118" s="178"/>
      <c r="AC118" s="178"/>
      <c r="AD118" s="178"/>
      <c r="AE118" s="178"/>
      <c r="AF118" s="178"/>
      <c r="AG118" s="178"/>
      <c r="AH118" s="178"/>
      <c r="AI118" s="178"/>
      <c r="AJ118" s="179"/>
      <c r="AK118" s="6"/>
      <c r="AM118" s="104">
        <v>2</v>
      </c>
      <c r="AN118" s="105">
        <f t="shared" ref="AN118:AN123" si="16">I108</f>
        <v>0</v>
      </c>
    </row>
    <row r="119" spans="2:46" ht="15" customHeight="1" x14ac:dyDescent="0.3">
      <c r="B119" s="177"/>
      <c r="C119" s="178"/>
      <c r="D119" s="178"/>
      <c r="E119" s="178"/>
      <c r="F119" s="178"/>
      <c r="G119" s="178"/>
      <c r="H119" s="178"/>
      <c r="I119" s="178"/>
      <c r="J119" s="178"/>
      <c r="K119" s="178"/>
      <c r="L119" s="178"/>
      <c r="M119" s="178"/>
      <c r="N119" s="178"/>
      <c r="O119" s="178"/>
      <c r="P119" s="178"/>
      <c r="Q119" s="178"/>
      <c r="R119" s="178"/>
      <c r="S119" s="178"/>
      <c r="T119" s="178"/>
      <c r="U119" s="178"/>
      <c r="V119" s="178"/>
      <c r="W119" s="178"/>
      <c r="X119" s="178"/>
      <c r="Y119" s="178"/>
      <c r="Z119" s="178"/>
      <c r="AA119" s="178"/>
      <c r="AB119" s="178"/>
      <c r="AC119" s="178"/>
      <c r="AD119" s="178"/>
      <c r="AE119" s="178"/>
      <c r="AF119" s="178"/>
      <c r="AG119" s="178"/>
      <c r="AH119" s="178"/>
      <c r="AI119" s="178"/>
      <c r="AJ119" s="179"/>
      <c r="AK119" s="6"/>
      <c r="AM119" s="104">
        <v>5</v>
      </c>
      <c r="AN119" s="105">
        <f t="shared" si="16"/>
        <v>0</v>
      </c>
    </row>
    <row r="120" spans="2:46" ht="15" customHeight="1" x14ac:dyDescent="0.3">
      <c r="B120" s="177"/>
      <c r="C120" s="178"/>
      <c r="D120" s="178"/>
      <c r="E120" s="178"/>
      <c r="F120" s="178"/>
      <c r="G120" s="178"/>
      <c r="H120" s="178"/>
      <c r="I120" s="178"/>
      <c r="J120" s="178"/>
      <c r="K120" s="178"/>
      <c r="L120" s="178"/>
      <c r="M120" s="178"/>
      <c r="N120" s="178"/>
      <c r="O120" s="178"/>
      <c r="P120" s="178"/>
      <c r="Q120" s="178"/>
      <c r="R120" s="178"/>
      <c r="S120" s="178"/>
      <c r="T120" s="178"/>
      <c r="U120" s="178"/>
      <c r="V120" s="178"/>
      <c r="W120" s="178"/>
      <c r="X120" s="178"/>
      <c r="Y120" s="178"/>
      <c r="Z120" s="178"/>
      <c r="AA120" s="178"/>
      <c r="AB120" s="178"/>
      <c r="AC120" s="178"/>
      <c r="AD120" s="178"/>
      <c r="AE120" s="178"/>
      <c r="AF120" s="178"/>
      <c r="AG120" s="178"/>
      <c r="AH120" s="178"/>
      <c r="AI120" s="178"/>
      <c r="AJ120" s="179"/>
      <c r="AK120" s="6"/>
      <c r="AM120" s="104">
        <v>10</v>
      </c>
      <c r="AN120" s="105">
        <f t="shared" si="16"/>
        <v>0</v>
      </c>
    </row>
    <row r="121" spans="2:46" ht="15" customHeight="1" x14ac:dyDescent="0.3">
      <c r="B121" s="177"/>
      <c r="C121" s="178"/>
      <c r="D121" s="178"/>
      <c r="E121" s="178"/>
      <c r="F121" s="178"/>
      <c r="G121" s="178"/>
      <c r="H121" s="178"/>
      <c r="I121" s="178"/>
      <c r="J121" s="178"/>
      <c r="K121" s="178"/>
      <c r="L121" s="178"/>
      <c r="M121" s="178"/>
      <c r="N121" s="178"/>
      <c r="O121" s="178"/>
      <c r="P121" s="178"/>
      <c r="Q121" s="178"/>
      <c r="R121" s="178"/>
      <c r="S121" s="178"/>
      <c r="T121" s="178"/>
      <c r="U121" s="178"/>
      <c r="V121" s="178"/>
      <c r="W121" s="178"/>
      <c r="X121" s="178"/>
      <c r="Y121" s="178"/>
      <c r="Z121" s="178"/>
      <c r="AA121" s="178"/>
      <c r="AB121" s="178"/>
      <c r="AC121" s="178"/>
      <c r="AD121" s="178"/>
      <c r="AE121" s="178"/>
      <c r="AF121" s="178"/>
      <c r="AG121" s="178"/>
      <c r="AH121" s="178"/>
      <c r="AI121" s="178"/>
      <c r="AJ121" s="179"/>
      <c r="AK121" s="6"/>
      <c r="AM121" s="104">
        <v>25</v>
      </c>
      <c r="AN121" s="105">
        <f t="shared" si="16"/>
        <v>0</v>
      </c>
    </row>
    <row r="122" spans="2:46" ht="15" customHeight="1" x14ac:dyDescent="0.3">
      <c r="B122" s="180"/>
      <c r="C122" s="181"/>
      <c r="D122" s="181"/>
      <c r="E122" s="181"/>
      <c r="F122" s="181"/>
      <c r="G122" s="181"/>
      <c r="H122" s="181"/>
      <c r="I122" s="181"/>
      <c r="J122" s="181"/>
      <c r="K122" s="181"/>
      <c r="L122" s="181"/>
      <c r="M122" s="181"/>
      <c r="N122" s="181"/>
      <c r="O122" s="181"/>
      <c r="P122" s="181"/>
      <c r="Q122" s="181"/>
      <c r="R122" s="181"/>
      <c r="S122" s="181"/>
      <c r="T122" s="181"/>
      <c r="U122" s="181"/>
      <c r="V122" s="181"/>
      <c r="W122" s="181"/>
      <c r="X122" s="181"/>
      <c r="Y122" s="181"/>
      <c r="Z122" s="181"/>
      <c r="AA122" s="181"/>
      <c r="AB122" s="181"/>
      <c r="AC122" s="181"/>
      <c r="AD122" s="181"/>
      <c r="AE122" s="181"/>
      <c r="AF122" s="181"/>
      <c r="AG122" s="181"/>
      <c r="AH122" s="181"/>
      <c r="AI122" s="181"/>
      <c r="AJ122" s="182"/>
      <c r="AK122" s="6"/>
      <c r="AM122" s="104">
        <v>50</v>
      </c>
      <c r="AN122" s="105">
        <f t="shared" si="16"/>
        <v>0</v>
      </c>
      <c r="AR122" s="42" t="s">
        <v>368</v>
      </c>
    </row>
    <row r="123" spans="2:46" ht="15" customHeight="1" x14ac:dyDescent="0.3">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M123" s="106">
        <v>100</v>
      </c>
      <c r="AN123" s="107">
        <f t="shared" si="16"/>
        <v>0</v>
      </c>
      <c r="AR123" s="92" t="str">
        <f>IF(AO128="No","2, 5, 10, 25, 50, and 100",IF(R142&gt;0,R142,IF(AT128=0,AP128,IF(AT128=1,AP126,IF(AT128=2,AP128,IF(AT128=3,Tables!F35,""))))))</f>
        <v>2, 5, 10, 25, 50, and 100</v>
      </c>
      <c r="AS123" s="89" t="str">
        <f>IF(AO128="No","2, 5, 10, 25, 50, and 100",IF(R142&gt;0,AL142,IF(AT128=0,AS128,IF(AT128=1,AS126,IF(AT128=2,AS128,IF(AT128=3,Tables!F36,""))))))</f>
        <v>2, 5, 10, 25, 50, and 100</v>
      </c>
    </row>
    <row r="124" spans="2:46" ht="15" customHeight="1" x14ac:dyDescent="0.3">
      <c r="B124" s="1" t="s">
        <v>300</v>
      </c>
      <c r="AJ124" s="129">
        <f>IF(ISBLANK(C128),0,IF(AO128="Yes","Detain the "&amp;AS123&amp;"-yr storm events to a "&amp;AR123&amp;"-yr discharge.",""))</f>
        <v>0</v>
      </c>
      <c r="AN124" s="72" t="s">
        <v>145</v>
      </c>
      <c r="AO124" s="72" t="s">
        <v>325</v>
      </c>
      <c r="AP124" s="72" t="s">
        <v>324</v>
      </c>
      <c r="AQ124" s="42" t="s">
        <v>326</v>
      </c>
    </row>
    <row r="125" spans="2:46" ht="4.95" customHeight="1" x14ac:dyDescent="0.3"/>
    <row r="126" spans="2:46" ht="15" customHeight="1" x14ac:dyDescent="0.3">
      <c r="C126" s="156"/>
      <c r="D126" s="4" t="s">
        <v>118</v>
      </c>
      <c r="F126" s="156"/>
      <c r="G126" s="4" t="s">
        <v>119</v>
      </c>
      <c r="I126" s="4" t="s">
        <v>305</v>
      </c>
      <c r="Z126" s="117"/>
      <c r="AA126" s="117"/>
      <c r="AB126" s="117"/>
      <c r="AC126" s="117"/>
      <c r="AD126" s="117"/>
      <c r="AE126" s="117"/>
      <c r="AF126" s="117"/>
      <c r="AG126" s="117"/>
      <c r="AH126" s="117"/>
      <c r="AI126" s="117"/>
      <c r="AJ126" s="117"/>
      <c r="AL126" s="87">
        <f>IF(AND(ISBLANK(C126),ISBLANK(F126)),1,2)</f>
        <v>1</v>
      </c>
      <c r="AM126" s="87">
        <f>IF(ISBLANK(C126),1,2)</f>
        <v>1</v>
      </c>
      <c r="AN126" s="89">
        <f>IF(AO126="Yes",IF($AM$126=2,$AQ$126,0),0)</f>
        <v>0</v>
      </c>
      <c r="AO126" s="87" t="str">
        <f>Tables!F29</f>
        <v>No</v>
      </c>
      <c r="AP126" s="92">
        <f>Tables!F30</f>
        <v>25</v>
      </c>
      <c r="AQ126" s="89">
        <f>VLOOKUP(AP126,$AM$118:$AN$123,2)</f>
        <v>0</v>
      </c>
      <c r="AS126" s="92" t="str">
        <f>Tables!F31</f>
        <v>25, 50, and 100</v>
      </c>
      <c r="AT126" s="97"/>
    </row>
    <row r="127" spans="2:46" ht="4.95" customHeight="1" x14ac:dyDescent="0.3">
      <c r="Y127" s="117"/>
      <c r="Z127" s="117"/>
      <c r="AA127" s="117"/>
      <c r="AB127" s="117"/>
      <c r="AC127" s="117"/>
      <c r="AD127" s="117"/>
      <c r="AE127" s="117"/>
      <c r="AF127" s="117"/>
      <c r="AG127" s="117"/>
      <c r="AH127" s="117"/>
      <c r="AI127" s="117"/>
      <c r="AJ127" s="117"/>
    </row>
    <row r="128" spans="2:46" ht="15" customHeight="1" x14ac:dyDescent="0.3">
      <c r="C128" s="156"/>
      <c r="D128" s="4" t="s">
        <v>118</v>
      </c>
      <c r="F128" s="156"/>
      <c r="G128" s="4" t="s">
        <v>119</v>
      </c>
      <c r="I128" s="4" t="s">
        <v>306</v>
      </c>
      <c r="Y128" s="117"/>
      <c r="Z128" s="117"/>
      <c r="AA128" s="117"/>
      <c r="AB128" s="117"/>
      <c r="AC128" s="117"/>
      <c r="AD128" s="117"/>
      <c r="AE128" s="117"/>
      <c r="AF128" s="117"/>
      <c r="AG128" s="117"/>
      <c r="AH128" s="117"/>
      <c r="AI128" s="117"/>
      <c r="AJ128" s="117"/>
      <c r="AL128" s="87">
        <f>IF(AND(ISBLANK(C128),ISBLANK(F128)),1,2)</f>
        <v>1</v>
      </c>
      <c r="AM128" s="87">
        <f>IF(ISBLANK(C128),1,2)</f>
        <v>1</v>
      </c>
      <c r="AN128" s="89">
        <f>IF(AO128="Yes",IF($AM$128=2,$AQ$128,0),0)</f>
        <v>0</v>
      </c>
      <c r="AO128" s="87" t="str">
        <f>Tables!F32</f>
        <v>No</v>
      </c>
      <c r="AP128" s="92">
        <f>IF(ISBLANK(R142),Tables!F33,R142)</f>
        <v>25</v>
      </c>
      <c r="AQ128" s="89">
        <f>VLOOKUP(AP128,$AM$118:$AN$123,2)</f>
        <v>0</v>
      </c>
      <c r="AS128" s="89" t="str">
        <f>Tables!F34</f>
        <v>25, 50, and 100</v>
      </c>
      <c r="AT128" s="128">
        <f>IF(AND(ISBLANK(C126),ISBLANK(C128)),0,IF(AND(LEN(C126)&gt;0,ISBLANK(C128)),1,IF(AND(ISBLANK(C126),LEN(C128)&gt;0),2,3)))</f>
        <v>0</v>
      </c>
    </row>
    <row r="129" spans="3:43" ht="4.95" customHeight="1" x14ac:dyDescent="0.3"/>
    <row r="130" spans="3:43" ht="15" customHeight="1" x14ac:dyDescent="0.3">
      <c r="I130" s="156"/>
      <c r="J130" s="4" t="s">
        <v>118</v>
      </c>
      <c r="L130" s="156"/>
      <c r="M130" s="4" t="s">
        <v>119</v>
      </c>
      <c r="O130" s="4" t="s">
        <v>371</v>
      </c>
      <c r="AL130" s="87">
        <f>IF(AND(ISBLANK(I130),ISBLANK(L130)),1,2)</f>
        <v>1</v>
      </c>
      <c r="AM130" s="87">
        <f>IF(ISBLANK(L130),1,2)</f>
        <v>1</v>
      </c>
    </row>
    <row r="131" spans="3:43" ht="4.95" customHeight="1" x14ac:dyDescent="0.3"/>
    <row r="132" spans="3:43" ht="15" customHeight="1" x14ac:dyDescent="0.3">
      <c r="I132" s="156"/>
      <c r="J132" s="4" t="s">
        <v>118</v>
      </c>
      <c r="L132" s="156"/>
      <c r="M132" s="4" t="s">
        <v>119</v>
      </c>
      <c r="O132" s="4" t="s">
        <v>372</v>
      </c>
      <c r="AL132" s="87">
        <f>IF(AND(ISBLANK(I132),ISBLANK(L132)),1,2)</f>
        <v>1</v>
      </c>
      <c r="AM132" s="87">
        <f>IF(ISBLANK(I132),1,2)</f>
        <v>1</v>
      </c>
    </row>
    <row r="133" spans="3:43" ht="4.95" customHeight="1" x14ac:dyDescent="0.3"/>
    <row r="134" spans="3:43" ht="15" customHeight="1" x14ac:dyDescent="0.3">
      <c r="O134" s="156"/>
      <c r="P134" s="4" t="s">
        <v>118</v>
      </c>
      <c r="R134" s="156"/>
      <c r="S134" s="4" t="s">
        <v>119</v>
      </c>
      <c r="U134" s="4" t="s">
        <v>373</v>
      </c>
      <c r="AL134" s="87">
        <f>IF(AND(ISBLANK(O134),ISBLANK(R134)),1,2)</f>
        <v>1</v>
      </c>
      <c r="AM134" s="87">
        <f>IF(ISBLANK(R134),1,2)</f>
        <v>1</v>
      </c>
    </row>
    <row r="135" spans="3:43" ht="4.95" customHeight="1" x14ac:dyDescent="0.3"/>
    <row r="136" spans="3:43" ht="15" customHeight="1" x14ac:dyDescent="0.3">
      <c r="O136" s="156"/>
      <c r="P136" s="4" t="s">
        <v>118</v>
      </c>
      <c r="R136" s="156"/>
      <c r="S136" s="4" t="s">
        <v>119</v>
      </c>
      <c r="U136" s="4" t="s">
        <v>485</v>
      </c>
      <c r="AL136" s="87">
        <f>IF(AND(ISBLANK(O136),ISBLANK(R136)),1,2)</f>
        <v>1</v>
      </c>
      <c r="AM136" s="87">
        <f>IF(ISBLANK(R136),1,2)</f>
        <v>1</v>
      </c>
    </row>
    <row r="137" spans="3:43" ht="4.95" customHeight="1" x14ac:dyDescent="0.3"/>
    <row r="138" spans="3:43" ht="15" customHeight="1" x14ac:dyDescent="0.3">
      <c r="I138" s="156"/>
      <c r="J138" s="4" t="s">
        <v>118</v>
      </c>
      <c r="L138" s="156"/>
      <c r="M138" s="4" t="s">
        <v>119</v>
      </c>
      <c r="O138" s="4" t="str">
        <f>"The "&amp;Tables!$F$23&amp;" will allow a different post release rate design storm"</f>
        <v>The County will allow a different post release rate design storm</v>
      </c>
      <c r="AL138" s="87">
        <f>IF(AND(ISBLANK(I138),ISBLANK(L138)),1,2)</f>
        <v>1</v>
      </c>
      <c r="AM138" s="87">
        <f>IF(ISBLANK(I138),1,2)</f>
        <v>1</v>
      </c>
    </row>
    <row r="139" spans="3:43" ht="4.95" customHeight="1" x14ac:dyDescent="0.3"/>
    <row r="140" spans="3:43" ht="15" customHeight="1" x14ac:dyDescent="0.3">
      <c r="O140" s="156"/>
      <c r="P140" s="4" t="s">
        <v>118</v>
      </c>
      <c r="R140" s="156"/>
      <c r="S140" s="4" t="s">
        <v>119</v>
      </c>
      <c r="U140" s="4" t="str">
        <f>"Written approval from the "&amp;Tables!$F$23&amp;" is attached?"</f>
        <v>Written approval from the County is attached?</v>
      </c>
      <c r="AL140" s="87">
        <f>IF(AND(ISBLANK(O140),ISBLANK(R140)),1,2)</f>
        <v>1</v>
      </c>
      <c r="AM140" s="87">
        <f>IF(ISBLANK(R140),1,2)</f>
        <v>1</v>
      </c>
    </row>
    <row r="141" spans="3:43" ht="4.95" customHeight="1" x14ac:dyDescent="0.3"/>
    <row r="142" spans="3:43" ht="15" customHeight="1" x14ac:dyDescent="0.3">
      <c r="R142" s="154"/>
      <c r="S142" s="153" t="s">
        <v>445</v>
      </c>
      <c r="U142" s="4" t="str">
        <f>"Post release rate design storm allowed by the "&amp;Tables!$F$23&amp;"."</f>
        <v>Post release rate design storm allowed by the County.</v>
      </c>
      <c r="AL142" s="214">
        <f>IF(ISBLANK(R142),0,VLOOKUP(R142,Storms[],2))</f>
        <v>0</v>
      </c>
      <c r="AM142" s="215"/>
    </row>
    <row r="143" spans="3:43" ht="4.95" customHeight="1" x14ac:dyDescent="0.3"/>
    <row r="144" spans="3:43" ht="15" customHeight="1" x14ac:dyDescent="0.3">
      <c r="C144" s="156"/>
      <c r="D144" s="4" t="s">
        <v>118</v>
      </c>
      <c r="F144" s="156"/>
      <c r="G144" s="4" t="s">
        <v>119</v>
      </c>
      <c r="I144" s="4" t="str">
        <f>"Does the project have "&amp;Tables!F37&amp;" for the adjacent property?"</f>
        <v>Does the project have Drainage Rights for the adjacent property?</v>
      </c>
      <c r="AL144" s="87">
        <f>IF(AND(ISBLANK(C144),ISBLANK(F144)),1,2)</f>
        <v>1</v>
      </c>
      <c r="AM144" s="87">
        <f>IF(ISBLANK(F144),1,2)</f>
        <v>1</v>
      </c>
      <c r="AN144" s="87">
        <f>IF(ISBLANK(C144),1,2)</f>
        <v>1</v>
      </c>
      <c r="AO144" s="87">
        <f>IF(ISBLANK(C126),0,2)</f>
        <v>0</v>
      </c>
      <c r="AP144" s="87">
        <f>IF(ISBLANK(C128),0,2)</f>
        <v>0</v>
      </c>
      <c r="AQ144" s="87">
        <f>IF(ISBLANK(F144),0,SUM(AO144:AP144))</f>
        <v>0</v>
      </c>
    </row>
    <row r="145" spans="2:42" ht="4.95" customHeight="1" x14ac:dyDescent="0.3"/>
    <row r="146" spans="2:42" ht="15" customHeight="1" x14ac:dyDescent="0.3">
      <c r="C146" s="156"/>
      <c r="D146" s="4" t="s">
        <v>118</v>
      </c>
      <c r="F146" s="156"/>
      <c r="G146" s="4" t="s">
        <v>119</v>
      </c>
      <c r="I146" s="4" t="s">
        <v>351</v>
      </c>
      <c r="AL146" s="87">
        <f>IF(AND(ISBLANK(C146),ISBLANK(F146)),1,2)</f>
        <v>1</v>
      </c>
      <c r="AM146" s="87">
        <f>IF(ISBLANK(F146),1,2)</f>
        <v>1</v>
      </c>
    </row>
    <row r="147" spans="2:42" ht="4.95" customHeight="1" x14ac:dyDescent="0.3"/>
    <row r="148" spans="2:42" ht="15" customHeight="1" x14ac:dyDescent="0.3">
      <c r="C148" s="156"/>
      <c r="D148" s="4" t="s">
        <v>118</v>
      </c>
      <c r="F148" s="156"/>
      <c r="G148" s="4" t="s">
        <v>119</v>
      </c>
      <c r="I148" s="4" t="s">
        <v>301</v>
      </c>
      <c r="J148" s="6"/>
      <c r="K148" s="6"/>
      <c r="L148" s="6"/>
      <c r="AL148" s="87">
        <f>IF(AND(ISBLANK(C148),ISBLANK(F148)),1,2)</f>
        <v>1</v>
      </c>
      <c r="AM148" s="87">
        <f>IF(ISBLANK(C148),1,2)</f>
        <v>1</v>
      </c>
      <c r="AO148" s="72"/>
      <c r="AP148" s="72"/>
    </row>
    <row r="149" spans="2:42" ht="4.95" customHeight="1" x14ac:dyDescent="0.3">
      <c r="C149" s="6"/>
      <c r="D149" s="6"/>
      <c r="E149" s="6"/>
      <c r="F149" s="6"/>
      <c r="G149" s="6"/>
      <c r="H149" s="6"/>
      <c r="I149" s="6"/>
      <c r="J149" s="6"/>
      <c r="K149" s="6"/>
      <c r="L149" s="6"/>
    </row>
    <row r="150" spans="2:42" ht="15" customHeight="1" x14ac:dyDescent="0.3">
      <c r="I150" s="156"/>
      <c r="J150" s="4" t="s">
        <v>118</v>
      </c>
      <c r="L150" s="156"/>
      <c r="M150" s="4" t="s">
        <v>119</v>
      </c>
      <c r="N150" s="6"/>
      <c r="O150" s="4" t="s">
        <v>299</v>
      </c>
      <c r="AL150" s="87">
        <f>IF(ISBLANK(I150),1,2)</f>
        <v>1</v>
      </c>
      <c r="AM150" s="87">
        <f>IF(ISBLANK(L150),1,2)</f>
        <v>1</v>
      </c>
      <c r="AN150" s="87">
        <f>SUM(AL150:AM150)</f>
        <v>2</v>
      </c>
    </row>
    <row r="151" spans="2:42" ht="4.95" customHeight="1" x14ac:dyDescent="0.3">
      <c r="AE151" s="6"/>
      <c r="AF151" s="6"/>
      <c r="AG151" s="6"/>
      <c r="AH151" s="6"/>
      <c r="AI151" s="6"/>
    </row>
    <row r="152" spans="2:42" ht="15" customHeight="1" x14ac:dyDescent="0.3">
      <c r="C152" s="156"/>
      <c r="D152" s="4" t="s">
        <v>118</v>
      </c>
      <c r="F152" s="156"/>
      <c r="G152" s="4" t="s">
        <v>119</v>
      </c>
      <c r="I152" s="4" t="s">
        <v>480</v>
      </c>
      <c r="AL152" s="87">
        <f>IF(AND(ISBLANK(C152),ISBLANK(F152)),1,2)</f>
        <v>1</v>
      </c>
      <c r="AM152" s="87">
        <f>IF(ISBLANK(C152),1,2)</f>
        <v>1</v>
      </c>
    </row>
    <row r="153" spans="2:42" ht="15" customHeight="1" x14ac:dyDescent="0.3">
      <c r="I153" s="4" t="str">
        <f>IF(AND(AM152=2,Tables!$F$14="Prattville"),"The City shall waive the Permit Application Review Fee","")</f>
        <v/>
      </c>
    </row>
    <row r="154" spans="2:42" ht="15" customHeight="1" x14ac:dyDescent="0.3"/>
    <row r="155" spans="2:42" ht="15" customHeight="1" x14ac:dyDescent="0.3">
      <c r="B155" s="216">
        <f>Tables!$F$13</f>
        <v>46266</v>
      </c>
      <c r="C155" s="216"/>
      <c r="D155" s="216"/>
      <c r="E155" s="216"/>
      <c r="F155" s="216"/>
      <c r="G155" s="216"/>
      <c r="H155" s="216"/>
      <c r="I155" s="68"/>
      <c r="R155" s="6" t="s">
        <v>249</v>
      </c>
    </row>
    <row r="156" spans="2:42" ht="15" customHeight="1" x14ac:dyDescent="0.3">
      <c r="C156" s="2" t="s">
        <v>129</v>
      </c>
      <c r="D156" s="171">
        <f>IF(ISBLANK($E$7),0,$E$7)</f>
        <v>0</v>
      </c>
      <c r="E156" s="171"/>
      <c r="F156" s="171"/>
      <c r="G156" s="171"/>
      <c r="H156" s="171"/>
      <c r="I156" s="171"/>
      <c r="J156" s="171"/>
      <c r="K156" s="171"/>
      <c r="L156" s="171"/>
      <c r="M156" s="171"/>
      <c r="N156" s="171"/>
      <c r="O156" s="171"/>
      <c r="P156" s="171"/>
      <c r="Q156" s="171"/>
      <c r="R156" s="171"/>
      <c r="S156" s="171"/>
      <c r="T156" s="171"/>
      <c r="U156" s="171"/>
      <c r="V156" s="171"/>
      <c r="W156" s="171"/>
      <c r="X156" s="171"/>
      <c r="Y156" s="171"/>
      <c r="AD156" s="2" t="s">
        <v>155</v>
      </c>
      <c r="AE156" s="172">
        <f>IF(ISBLANK($AE$7),0,$AE$7)</f>
        <v>0</v>
      </c>
      <c r="AF156" s="172"/>
      <c r="AG156" s="172"/>
      <c r="AH156" s="172"/>
      <c r="AI156" s="172"/>
      <c r="AJ156" s="172"/>
    </row>
    <row r="157" spans="2:42" ht="15" customHeight="1" x14ac:dyDescent="0.3">
      <c r="F157" s="3"/>
      <c r="G157" s="3"/>
      <c r="H157" s="3"/>
      <c r="I157" s="3"/>
      <c r="J157" s="3"/>
      <c r="K157" s="2"/>
      <c r="L157" s="2"/>
      <c r="M157" s="2"/>
      <c r="N157" s="2"/>
      <c r="O157" s="3"/>
      <c r="P157" s="8"/>
      <c r="Q157" s="8"/>
      <c r="R157" s="8"/>
      <c r="S157" s="8"/>
      <c r="T157" s="8"/>
      <c r="U157" s="8"/>
      <c r="V157" s="8"/>
      <c r="W157" s="8"/>
      <c r="X157" s="8"/>
      <c r="Y157" s="8"/>
      <c r="Z157" s="8"/>
      <c r="AA157" s="8"/>
      <c r="AB157" s="8"/>
      <c r="AC157" s="8"/>
      <c r="AD157" s="2" t="s">
        <v>156</v>
      </c>
      <c r="AE157" s="169">
        <f>IF(ISBLANK($AE$8),0,$AE$8)</f>
        <v>0</v>
      </c>
      <c r="AF157" s="169"/>
      <c r="AG157" s="169"/>
      <c r="AH157" s="169"/>
      <c r="AI157" s="169"/>
      <c r="AJ157" s="169"/>
    </row>
    <row r="158" spans="2:42" ht="15" customHeight="1" x14ac:dyDescent="0.3">
      <c r="B158" s="1" t="s">
        <v>17</v>
      </c>
      <c r="C158" s="1"/>
      <c r="D158" s="1"/>
      <c r="E158" s="1"/>
      <c r="F158" s="1"/>
      <c r="G158" s="1"/>
      <c r="H158" s="1"/>
      <c r="I158" s="1"/>
      <c r="J158" s="1"/>
    </row>
    <row r="159" spans="2:42" ht="15" customHeight="1" x14ac:dyDescent="0.3">
      <c r="B159" s="65" t="s">
        <v>181</v>
      </c>
      <c r="C159" s="65"/>
      <c r="D159" s="65"/>
      <c r="E159" s="65"/>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row>
    <row r="160" spans="2:42" ht="15" customHeight="1" x14ac:dyDescent="0.3">
      <c r="C160" s="52" t="s">
        <v>107</v>
      </c>
      <c r="D160" s="65" t="str">
        <f>"Is designed in accordance with the latest version of the "&amp;Tables!$F$23&amp;"'s requirements;"</f>
        <v>Is designed in accordance with the latest version of the County's requirements;</v>
      </c>
      <c r="E160" s="66"/>
      <c r="G160" s="65"/>
      <c r="H160" s="65"/>
      <c r="I160" s="65"/>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row>
    <row r="161" spans="2:38" ht="15" customHeight="1" x14ac:dyDescent="0.3">
      <c r="C161" s="52" t="s">
        <v>107</v>
      </c>
      <c r="D161" s="65" t="s">
        <v>182</v>
      </c>
      <c r="E161" s="66"/>
      <c r="G161" s="65"/>
      <c r="H161" s="65"/>
      <c r="I161" s="65"/>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row>
    <row r="162" spans="2:38" ht="15" customHeight="1" x14ac:dyDescent="0.3">
      <c r="C162" s="52" t="s">
        <v>107</v>
      </c>
      <c r="D162" s="65" t="s">
        <v>356</v>
      </c>
      <c r="E162" s="66"/>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row>
    <row r="163" spans="2:38" ht="15" customHeight="1" x14ac:dyDescent="0.3">
      <c r="C163" s="52"/>
      <c r="D163" s="65" t="s">
        <v>355</v>
      </c>
      <c r="E163" s="66"/>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row>
    <row r="164" spans="2:38" ht="15" customHeight="1" x14ac:dyDescent="0.3">
      <c r="C164" s="52" t="s">
        <v>107</v>
      </c>
      <c r="D164" s="65" t="s">
        <v>183</v>
      </c>
      <c r="E164" s="66"/>
      <c r="G164" s="65"/>
      <c r="H164" s="65"/>
      <c r="I164" s="65"/>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row>
    <row r="165" spans="2:38" ht="15" customHeight="1" x14ac:dyDescent="0.3">
      <c r="C165" s="52" t="s">
        <v>107</v>
      </c>
      <c r="D165" s="65" t="s">
        <v>184</v>
      </c>
      <c r="E165" s="66"/>
      <c r="G165" s="65"/>
      <c r="H165" s="65"/>
      <c r="I165" s="65"/>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row>
    <row r="166" spans="2:38" ht="15" customHeight="1" x14ac:dyDescent="0.3">
      <c r="C166" s="52"/>
      <c r="D166" s="65"/>
      <c r="E166" s="66"/>
      <c r="G166" s="65"/>
      <c r="H166" s="65"/>
      <c r="I166" s="65"/>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row>
    <row r="167" spans="2:38" ht="15" customHeight="1" x14ac:dyDescent="0.3">
      <c r="E167" s="2" t="s">
        <v>160</v>
      </c>
      <c r="F167" s="199"/>
      <c r="G167" s="199"/>
      <c r="H167" s="199"/>
      <c r="I167" s="199"/>
      <c r="J167" s="199"/>
      <c r="K167" s="199"/>
      <c r="L167" s="199"/>
      <c r="M167" s="199"/>
      <c r="N167" s="199"/>
      <c r="O167" s="199"/>
      <c r="P167" s="199"/>
      <c r="Q167" s="199"/>
      <c r="R167" s="199"/>
      <c r="S167" s="199"/>
      <c r="T167" s="199"/>
      <c r="U167" s="199"/>
      <c r="V167" s="199"/>
      <c r="W167" s="199"/>
      <c r="X167" s="199"/>
      <c r="Y167" s="199"/>
      <c r="Z167" s="199"/>
      <c r="AC167" s="2" t="s">
        <v>228</v>
      </c>
      <c r="AD167" s="2"/>
      <c r="AE167" s="2"/>
      <c r="AF167" s="2"/>
    </row>
    <row r="168" spans="2:38" ht="15" customHeight="1" x14ac:dyDescent="0.3">
      <c r="E168" s="2" t="s">
        <v>129</v>
      </c>
      <c r="F168" s="196"/>
      <c r="G168" s="196"/>
      <c r="H168" s="196"/>
      <c r="I168" s="196"/>
      <c r="J168" s="196"/>
      <c r="K168" s="196"/>
      <c r="L168" s="196"/>
      <c r="M168" s="196"/>
      <c r="N168" s="196"/>
      <c r="O168" s="196"/>
      <c r="P168" s="196"/>
      <c r="Q168" s="196"/>
      <c r="R168" s="196"/>
      <c r="S168" s="196"/>
      <c r="T168" s="196"/>
      <c r="U168" s="196"/>
      <c r="V168" s="196"/>
      <c r="W168" s="196"/>
      <c r="X168" s="196"/>
      <c r="Y168" s="196"/>
      <c r="Z168" s="196"/>
    </row>
    <row r="169" spans="2:38" ht="15" customHeight="1" x14ac:dyDescent="0.3">
      <c r="E169" s="2" t="s">
        <v>130</v>
      </c>
      <c r="F169" s="196"/>
      <c r="G169" s="196"/>
      <c r="H169" s="196"/>
      <c r="I169" s="196"/>
      <c r="J169" s="196"/>
      <c r="K169" s="196"/>
      <c r="L169" s="196"/>
      <c r="M169" s="196"/>
      <c r="N169" s="196"/>
      <c r="O169" s="196"/>
      <c r="P169" s="196"/>
      <c r="Q169" s="196"/>
      <c r="R169" s="196"/>
      <c r="S169" s="196"/>
      <c r="T169" s="196"/>
      <c r="U169" s="196"/>
      <c r="V169" s="196"/>
      <c r="W169" s="196"/>
      <c r="X169" s="196"/>
      <c r="Y169" s="196"/>
      <c r="Z169" s="196"/>
    </row>
    <row r="170" spans="2:38" ht="15" customHeight="1" x14ac:dyDescent="0.3">
      <c r="E170" s="2" t="s">
        <v>202</v>
      </c>
      <c r="F170" s="196"/>
      <c r="G170" s="196"/>
      <c r="H170" s="196"/>
      <c r="I170" s="196"/>
      <c r="J170" s="196"/>
      <c r="K170" s="196"/>
      <c r="L170" s="196"/>
      <c r="M170" s="53"/>
      <c r="N170" s="53"/>
      <c r="O170" s="95" t="s">
        <v>133</v>
      </c>
      <c r="P170" s="196"/>
      <c r="Q170" s="196"/>
      <c r="R170" s="196"/>
      <c r="S170" s="196"/>
      <c r="T170" s="53"/>
      <c r="U170" s="53"/>
      <c r="V170" s="53"/>
      <c r="W170" s="95" t="s">
        <v>134</v>
      </c>
      <c r="X170" s="198"/>
      <c r="Y170" s="198"/>
      <c r="Z170" s="198"/>
    </row>
    <row r="171" spans="2:38" ht="15" customHeight="1" x14ac:dyDescent="0.3">
      <c r="E171" s="2" t="s">
        <v>131</v>
      </c>
      <c r="F171" s="200"/>
      <c r="G171" s="200"/>
      <c r="H171" s="200"/>
      <c r="I171" s="200"/>
      <c r="J171" s="200"/>
      <c r="K171" s="200"/>
      <c r="L171" s="200"/>
      <c r="M171" s="200"/>
      <c r="N171" s="200"/>
      <c r="O171" s="200"/>
      <c r="P171" s="200"/>
      <c r="Q171" s="200"/>
      <c r="R171" s="200"/>
      <c r="S171" s="200"/>
      <c r="T171" s="200"/>
      <c r="U171" s="200"/>
      <c r="V171" s="200"/>
      <c r="W171" s="200"/>
      <c r="X171" s="200"/>
      <c r="Y171" s="200"/>
      <c r="Z171" s="200"/>
    </row>
    <row r="172" spans="2:38" ht="15" customHeight="1" x14ac:dyDescent="0.3">
      <c r="E172" s="2" t="s">
        <v>135</v>
      </c>
      <c r="F172" s="197"/>
      <c r="G172" s="197"/>
      <c r="H172" s="197"/>
      <c r="I172" s="197"/>
      <c r="J172" s="197"/>
      <c r="V172" s="50"/>
      <c r="W172" s="50"/>
      <c r="X172" s="50"/>
    </row>
    <row r="173" spans="2:38" ht="15" customHeight="1" x14ac:dyDescent="0.3">
      <c r="E173" s="2"/>
      <c r="F173" s="53"/>
      <c r="G173" s="53"/>
      <c r="H173" s="53"/>
      <c r="I173" s="53"/>
      <c r="J173" s="53"/>
      <c r="V173" s="50"/>
      <c r="W173" s="50"/>
      <c r="X173" s="50"/>
    </row>
    <row r="174" spans="2:38" ht="15" customHeight="1" x14ac:dyDescent="0.3">
      <c r="E174" s="2" t="s">
        <v>161</v>
      </c>
      <c r="F174" s="64"/>
      <c r="G174" s="64"/>
      <c r="H174" s="64"/>
      <c r="I174" s="64"/>
      <c r="J174" s="64"/>
      <c r="K174" s="64"/>
      <c r="L174" s="64"/>
      <c r="M174" s="64"/>
      <c r="N174" s="64"/>
      <c r="O174" s="64"/>
      <c r="P174" s="64"/>
      <c r="Q174" s="64"/>
      <c r="R174" s="64"/>
      <c r="S174" s="64"/>
      <c r="T174" s="64"/>
      <c r="U174" s="64"/>
      <c r="V174" s="50"/>
      <c r="W174" s="50"/>
      <c r="X174" s="50"/>
      <c r="AC174" s="2" t="s">
        <v>155</v>
      </c>
      <c r="AD174" s="195"/>
      <c r="AE174" s="195"/>
      <c r="AF174" s="195"/>
      <c r="AG174" s="195"/>
      <c r="AH174" s="195"/>
    </row>
    <row r="175" spans="2:38" ht="15" customHeight="1" x14ac:dyDescent="0.3"/>
    <row r="176" spans="2:38" ht="15" customHeight="1" x14ac:dyDescent="0.3">
      <c r="B176" s="23" t="s">
        <v>78</v>
      </c>
      <c r="C176" s="69"/>
      <c r="D176" s="69"/>
      <c r="E176" s="69"/>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5"/>
      <c r="AL176" s="42" t="s">
        <v>231</v>
      </c>
    </row>
    <row r="177" spans="2:38" ht="15" customHeight="1" x14ac:dyDescent="0.3">
      <c r="B177" s="26"/>
      <c r="C177" s="27"/>
      <c r="D177" s="27"/>
      <c r="E177" s="27"/>
      <c r="F177" s="27"/>
      <c r="G177" s="27"/>
      <c r="H177" s="27"/>
      <c r="I177" s="27"/>
      <c r="J177" s="27"/>
      <c r="K177" s="34" t="s">
        <v>79</v>
      </c>
      <c r="L177" s="34"/>
      <c r="M177" s="35" t="s">
        <v>80</v>
      </c>
      <c r="N177" s="35"/>
      <c r="O177" s="35"/>
      <c r="P177" s="35"/>
      <c r="Q177" s="35"/>
      <c r="R177" s="35"/>
      <c r="S177" s="35"/>
      <c r="T177" s="27"/>
      <c r="U177" s="27"/>
      <c r="V177" s="27"/>
      <c r="W177" s="27"/>
      <c r="X177" s="27"/>
      <c r="Y177" s="27"/>
      <c r="Z177" s="27"/>
      <c r="AA177" s="27"/>
      <c r="AB177" s="27"/>
      <c r="AC177" s="27"/>
      <c r="AD177" s="27"/>
      <c r="AE177" s="27"/>
      <c r="AF177" s="27"/>
      <c r="AG177" s="27"/>
      <c r="AH177" s="27"/>
      <c r="AI177" s="27"/>
      <c r="AJ177" s="28"/>
      <c r="AL177" s="87">
        <f>SUM(AL179:AL196)</f>
        <v>15</v>
      </c>
    </row>
    <row r="178" spans="2:38" ht="15" customHeight="1" x14ac:dyDescent="0.3">
      <c r="B178" s="26"/>
      <c r="C178" s="27"/>
      <c r="D178" s="27"/>
      <c r="E178" s="27"/>
      <c r="F178" s="27"/>
      <c r="G178" s="27"/>
      <c r="H178" s="27"/>
      <c r="I178" s="27"/>
      <c r="J178" s="27"/>
      <c r="K178" s="29" t="s">
        <v>349</v>
      </c>
      <c r="L178" s="34"/>
      <c r="M178" s="27" t="str">
        <f>IF(ISBLANK(AC6),Tables!J19,"")</f>
        <v>Parcel No. has not been provided</v>
      </c>
      <c r="N178" s="35"/>
      <c r="O178" s="35"/>
      <c r="P178" s="35"/>
      <c r="Q178" s="35"/>
      <c r="R178" s="35"/>
      <c r="S178" s="35"/>
      <c r="T178" s="27"/>
      <c r="U178" s="27"/>
      <c r="V178" s="27"/>
      <c r="W178" s="27"/>
      <c r="X178" s="27"/>
      <c r="Y178" s="27"/>
      <c r="Z178" s="27"/>
      <c r="AA178" s="27"/>
      <c r="AB178" s="27"/>
      <c r="AC178" s="27"/>
      <c r="AD178" s="27"/>
      <c r="AE178" s="27"/>
      <c r="AF178" s="27"/>
      <c r="AG178" s="27"/>
      <c r="AH178" s="27"/>
      <c r="AI178" s="27"/>
      <c r="AJ178" s="28"/>
      <c r="AL178" s="87">
        <f>IF(M178="",0,1)</f>
        <v>1</v>
      </c>
    </row>
    <row r="179" spans="2:38" ht="15" customHeight="1" x14ac:dyDescent="0.3">
      <c r="B179" s="26"/>
      <c r="C179" s="27"/>
      <c r="D179" s="27"/>
      <c r="E179" s="27"/>
      <c r="F179" s="27"/>
      <c r="G179" s="27"/>
      <c r="H179" s="27"/>
      <c r="I179" s="27"/>
      <c r="J179" s="27"/>
      <c r="K179" s="29" t="s">
        <v>81</v>
      </c>
      <c r="L179" s="29"/>
      <c r="M179" s="27" t="str">
        <f>IF(AND(AL28&lt;6,AM28=6),Tables!J2,IF(AND(AL28=6,AM28=6),"",Tables!J2))</f>
        <v>Pre Total not completed</v>
      </c>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8"/>
      <c r="AL179" s="87">
        <f>IF(M179="",0,1)</f>
        <v>1</v>
      </c>
    </row>
    <row r="180" spans="2:38" ht="15" customHeight="1" x14ac:dyDescent="0.3">
      <c r="B180" s="26"/>
      <c r="C180" s="27"/>
      <c r="D180" s="27"/>
      <c r="E180" s="27"/>
      <c r="F180" s="27"/>
      <c r="G180" s="27"/>
      <c r="H180" s="27"/>
      <c r="I180" s="27"/>
      <c r="J180" s="27"/>
      <c r="K180" s="29" t="s">
        <v>82</v>
      </c>
      <c r="L180" s="29"/>
      <c r="M180" s="27" t="str">
        <f>IF(AND(AL41&lt;6,AM41=6),Tables!J3,IF(AND(AL41=6,AM41=6),"",Tables!J3))</f>
        <v>Post Total not completed</v>
      </c>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8"/>
      <c r="AL180" s="87">
        <f t="shared" ref="AL180:AL196" si="17">IF(M180="",0,1)</f>
        <v>1</v>
      </c>
    </row>
    <row r="181" spans="2:38" ht="15" customHeight="1" x14ac:dyDescent="0.3">
      <c r="B181" s="26"/>
      <c r="C181" s="27"/>
      <c r="D181" s="27"/>
      <c r="E181" s="27"/>
      <c r="F181" s="27"/>
      <c r="G181" s="27"/>
      <c r="H181" s="27"/>
      <c r="I181" s="27"/>
      <c r="J181" s="27"/>
      <c r="K181" s="29" t="s">
        <v>384</v>
      </c>
      <c r="L181" s="29"/>
      <c r="M181" s="27" t="str">
        <f>IF(AM78=3,"",IF(AM80&gt;0,Tables!J20,""))</f>
        <v>Outlet protection section not completed</v>
      </c>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8"/>
      <c r="AL181" s="87">
        <f t="shared" si="17"/>
        <v>1</v>
      </c>
    </row>
    <row r="182" spans="2:38" ht="15" customHeight="1" x14ac:dyDescent="0.3">
      <c r="B182" s="26"/>
      <c r="C182" s="27"/>
      <c r="D182" s="27"/>
      <c r="E182" s="27"/>
      <c r="F182" s="27"/>
      <c r="G182" s="27"/>
      <c r="H182" s="27"/>
      <c r="I182" s="27"/>
      <c r="J182" s="27"/>
      <c r="K182" s="29"/>
      <c r="L182" s="29"/>
      <c r="M182" s="27" t="str">
        <f>IF(AM78=3,"",IF(AQ82=1,"For Class 2 Riprap, the minimum depth is 1.50-feet",IF(AQ82=2,Tables!J23,"")))</f>
        <v>For Class 2 Riprap, the minimum depth is 1.50-feet</v>
      </c>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8"/>
      <c r="AL182" s="87">
        <f t="shared" si="17"/>
        <v>1</v>
      </c>
    </row>
    <row r="183" spans="2:38" ht="15" customHeight="1" x14ac:dyDescent="0.3">
      <c r="B183" s="26"/>
      <c r="C183" s="27"/>
      <c r="D183" s="27"/>
      <c r="E183" s="27"/>
      <c r="F183" s="27"/>
      <c r="G183" s="27"/>
      <c r="H183" s="27"/>
      <c r="I183" s="27"/>
      <c r="J183" s="27"/>
      <c r="K183" s="29" t="s">
        <v>83</v>
      </c>
      <c r="L183" s="29"/>
      <c r="M183" s="27" t="str">
        <f>IF(AM84&lt;6,Tables!J4,"")</f>
        <v>Emergency Spillway Section not completed</v>
      </c>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8"/>
      <c r="AL183" s="87">
        <f t="shared" si="17"/>
        <v>1</v>
      </c>
    </row>
    <row r="184" spans="2:38" ht="15" customHeight="1" x14ac:dyDescent="0.3">
      <c r="B184" s="26"/>
      <c r="C184" s="27"/>
      <c r="D184" s="27"/>
      <c r="E184" s="27"/>
      <c r="F184" s="27"/>
      <c r="G184" s="27"/>
      <c r="H184" s="27"/>
      <c r="I184" s="27"/>
      <c r="J184" s="27"/>
      <c r="K184" s="29" t="s">
        <v>201</v>
      </c>
      <c r="L184" s="29"/>
      <c r="M184" s="27" t="str">
        <f>IF(AL113&lt;1,Tables!J11,"")</f>
        <v>Freeboard  &lt;  1.0 ft</v>
      </c>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8"/>
      <c r="AL184" s="87">
        <f t="shared" si="17"/>
        <v>1</v>
      </c>
    </row>
    <row r="185" spans="2:38" ht="15" customHeight="1" x14ac:dyDescent="0.3">
      <c r="B185" s="26"/>
      <c r="C185" s="27"/>
      <c r="D185" s="27"/>
      <c r="E185" s="27"/>
      <c r="F185" s="27"/>
      <c r="G185" s="27"/>
      <c r="H185" s="27"/>
      <c r="I185" s="27"/>
      <c r="J185" s="27"/>
      <c r="K185" s="29" t="s">
        <v>109</v>
      </c>
      <c r="L185" s="29"/>
      <c r="M185" s="27" t="str">
        <f>IF(AM88&lt;2,Tables!J8,"")</f>
        <v>Latitude and/or Longitude not provided</v>
      </c>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8"/>
      <c r="AL185" s="87">
        <f t="shared" si="17"/>
        <v>1</v>
      </c>
    </row>
    <row r="186" spans="2:38" ht="15" customHeight="1" x14ac:dyDescent="0.3">
      <c r="B186" s="26"/>
      <c r="C186" s="27"/>
      <c r="D186" s="27"/>
      <c r="E186" s="27"/>
      <c r="F186" s="27"/>
      <c r="G186" s="27"/>
      <c r="H186" s="27"/>
      <c r="I186" s="27"/>
      <c r="J186" s="27"/>
      <c r="K186" s="29"/>
      <c r="L186" s="29"/>
      <c r="M186" s="27" t="str">
        <f>IF(AND(AO89=1,AQ89=1),Tables!$J$15,IF(OR(AO89=3,AQ89=3),Tables!$J$15,""))</f>
        <v>Latitude and/or Longitude has been entered as text.  Change to a number.</v>
      </c>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8"/>
      <c r="AL186" s="87">
        <f t="shared" si="17"/>
        <v>1</v>
      </c>
    </row>
    <row r="187" spans="2:38" ht="15" customHeight="1" x14ac:dyDescent="0.3">
      <c r="B187" s="26"/>
      <c r="C187" s="27"/>
      <c r="D187" s="27"/>
      <c r="E187" s="27"/>
      <c r="F187" s="27"/>
      <c r="G187" s="27"/>
      <c r="H187" s="27"/>
      <c r="I187" s="27"/>
      <c r="J187" s="27"/>
      <c r="K187" s="29" t="s">
        <v>142</v>
      </c>
      <c r="L187" s="29"/>
      <c r="M187" s="27" t="str">
        <f>IF(AP99=2,Tables!J9,IF(AM99=1,"",Tables!J9))</f>
        <v>WQv Required &gt; WQv Provided</v>
      </c>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8"/>
      <c r="AL187" s="87">
        <f t="shared" si="17"/>
        <v>1</v>
      </c>
    </row>
    <row r="188" spans="2:38" ht="15" customHeight="1" x14ac:dyDescent="0.3">
      <c r="B188" s="26"/>
      <c r="C188" s="27"/>
      <c r="D188" s="27"/>
      <c r="E188" s="27"/>
      <c r="F188" s="27"/>
      <c r="G188" s="27"/>
      <c r="H188" s="27"/>
      <c r="I188" s="27"/>
      <c r="J188" s="27"/>
      <c r="K188" s="29" t="s">
        <v>395</v>
      </c>
      <c r="L188" s="29"/>
      <c r="M188" s="27" t="str">
        <f>IF(AN101=0,Tables!J21,IF(AN101=1,Tables!J21,""))</f>
        <v>Detention pond bottom slope  &lt; 1.00%</v>
      </c>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8"/>
      <c r="AL188" s="87">
        <f t="shared" si="17"/>
        <v>1</v>
      </c>
    </row>
    <row r="189" spans="2:38" ht="15" customHeight="1" x14ac:dyDescent="0.3">
      <c r="B189" s="26"/>
      <c r="C189" s="27"/>
      <c r="D189" s="27"/>
      <c r="E189" s="27"/>
      <c r="F189" s="27"/>
      <c r="G189" s="27"/>
      <c r="H189" s="27"/>
      <c r="I189" s="27"/>
      <c r="J189" s="27"/>
      <c r="K189" s="93" t="s">
        <v>84</v>
      </c>
      <c r="L189" s="29"/>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8"/>
      <c r="AL189" s="87">
        <f t="shared" si="17"/>
        <v>0</v>
      </c>
    </row>
    <row r="190" spans="2:38" ht="15" customHeight="1" x14ac:dyDescent="0.3">
      <c r="B190" s="26"/>
      <c r="C190" s="27"/>
      <c r="D190" s="27"/>
      <c r="E190" s="27"/>
      <c r="F190" s="27"/>
      <c r="G190" s="27"/>
      <c r="H190" s="27"/>
      <c r="I190" s="27"/>
      <c r="J190" s="27"/>
      <c r="K190" s="29" t="s">
        <v>77</v>
      </c>
      <c r="L190" s="29"/>
      <c r="M190" s="27" t="str">
        <f>IF(AL107&gt;0,Tables!J7,"")</f>
        <v>Max Stage for 2, 5, 10, 25 and/or 50-year storm  &gt; emergency spillway crest elevation</v>
      </c>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8"/>
      <c r="AL190" s="87">
        <f t="shared" si="17"/>
        <v>1</v>
      </c>
    </row>
    <row r="191" spans="2:38" ht="15" customHeight="1" x14ac:dyDescent="0.3">
      <c r="B191" s="26"/>
      <c r="C191" s="27"/>
      <c r="D191" s="27"/>
      <c r="E191" s="27"/>
      <c r="F191" s="27"/>
      <c r="G191" s="27"/>
      <c r="H191" s="27"/>
      <c r="I191" s="27"/>
      <c r="J191" s="27"/>
      <c r="K191" s="29" t="s">
        <v>172</v>
      </c>
      <c r="L191" s="29"/>
      <c r="M191" s="27" t="str">
        <f>IF(AR107&gt;0,Tables!J18,"")</f>
        <v>Outlet Control Structure Velocity &gt; 6 ft/s</v>
      </c>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8"/>
      <c r="AL191" s="87">
        <f t="shared" si="17"/>
        <v>1</v>
      </c>
    </row>
    <row r="192" spans="2:38" ht="15" customHeight="1" x14ac:dyDescent="0.3">
      <c r="B192" s="26"/>
      <c r="C192" s="27"/>
      <c r="D192" s="27"/>
      <c r="E192" s="27"/>
      <c r="F192" s="27"/>
      <c r="G192" s="27"/>
      <c r="H192" s="27"/>
      <c r="I192" s="27"/>
      <c r="J192" s="27"/>
      <c r="K192" s="29"/>
      <c r="L192" s="29"/>
      <c r="M192" s="27" t="str">
        <f>IF(AM107&gt;0,Tables!J6,"")</f>
        <v>Emergency Spillway Velocity &gt; 6 ft/s</v>
      </c>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8"/>
      <c r="AL192" s="87">
        <f>IF(M192="",0,1)</f>
        <v>1</v>
      </c>
    </row>
    <row r="193" spans="2:38" ht="15" customHeight="1" x14ac:dyDescent="0.3">
      <c r="B193" s="26"/>
      <c r="C193" s="27"/>
      <c r="D193" s="27"/>
      <c r="E193" s="27"/>
      <c r="F193" s="27"/>
      <c r="G193" s="27"/>
      <c r="H193" s="27"/>
      <c r="I193" s="27"/>
      <c r="J193" s="27"/>
      <c r="K193" s="29" t="s">
        <v>85</v>
      </c>
      <c r="L193" s="29"/>
      <c r="M193" s="27" t="str">
        <f>IF(OR(AN107&gt;0,AO107&gt;0),Tables!J5,"")</f>
        <v>Total Post Q &gt; Pre Q</v>
      </c>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8"/>
      <c r="AL193" s="87">
        <f t="shared" si="17"/>
        <v>1</v>
      </c>
    </row>
    <row r="194" spans="2:38" ht="15" customHeight="1" x14ac:dyDescent="0.3">
      <c r="B194" s="26"/>
      <c r="C194" s="27"/>
      <c r="D194" s="27"/>
      <c r="E194" s="27"/>
      <c r="F194" s="27"/>
      <c r="G194" s="27"/>
      <c r="H194" s="27"/>
      <c r="I194" s="27"/>
      <c r="J194" s="27"/>
      <c r="K194" s="29"/>
      <c r="L194" s="29"/>
      <c r="M194" s="27" t="str">
        <f>IF($AQ$107&gt;0,Tables!$J$12,"")</f>
        <v>Total Post Q is &lt; 0.50 ft3/s of Pre Q</v>
      </c>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8"/>
      <c r="AL194" s="87">
        <f t="shared" si="17"/>
        <v>1</v>
      </c>
    </row>
    <row r="195" spans="2:38" ht="15" customHeight="1" x14ac:dyDescent="0.3">
      <c r="B195" s="26"/>
      <c r="C195" s="27"/>
      <c r="D195" s="27"/>
      <c r="E195" s="27"/>
      <c r="F195" s="27"/>
      <c r="G195" s="27"/>
      <c r="H195" s="27"/>
      <c r="I195" s="27"/>
      <c r="J195" s="27"/>
      <c r="K195" s="29"/>
      <c r="L195" s="29"/>
      <c r="M195" s="27" t="str">
        <f>IF(AO126="Yes",IF(AND(ISBLANK($C$126),ISBLANK($F$126)),Tables!$J$14,IF($AO$107&gt;0,Tables!$J$14,"")),"")</f>
        <v/>
      </c>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8"/>
      <c r="AL195" s="87">
        <f t="shared" si="17"/>
        <v>0</v>
      </c>
    </row>
    <row r="196" spans="2:38" ht="15" customHeight="1" x14ac:dyDescent="0.3">
      <c r="B196" s="30"/>
      <c r="C196" s="31"/>
      <c r="D196" s="31"/>
      <c r="E196" s="31"/>
      <c r="F196" s="31"/>
      <c r="G196" s="31"/>
      <c r="H196" s="31"/>
      <c r="I196" s="31"/>
      <c r="J196" s="31"/>
      <c r="K196" s="32"/>
      <c r="L196" s="32"/>
      <c r="M196" s="31" t="str">
        <f>IF(AO128="Yes",IF(AND(ISBLANK($C$128),ISBLANK($F$128)),Tables!J$16,IF($AP$107&gt;0,Tables!$J$16,"")),"")</f>
        <v/>
      </c>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3"/>
      <c r="AL196" s="87">
        <f t="shared" si="17"/>
        <v>0</v>
      </c>
    </row>
    <row r="197" spans="2:38" ht="15" customHeight="1" x14ac:dyDescent="0.3"/>
    <row r="198" spans="2:38" ht="15" customHeight="1" x14ac:dyDescent="0.3">
      <c r="B198" s="216">
        <f>Tables!$F$13</f>
        <v>46266</v>
      </c>
      <c r="C198" s="216"/>
      <c r="D198" s="216"/>
      <c r="E198" s="216"/>
      <c r="F198" s="216"/>
      <c r="G198" s="216"/>
      <c r="H198" s="216"/>
      <c r="I198" s="68"/>
      <c r="R198" s="6" t="s">
        <v>248</v>
      </c>
    </row>
    <row r="199" spans="2:38" ht="15" customHeight="1" x14ac:dyDescent="0.3"/>
    <row r="200" spans="2:38" ht="15" customHeight="1" x14ac:dyDescent="0.3"/>
    <row r="201" spans="2:38" ht="15" customHeight="1" x14ac:dyDescent="0.3"/>
    <row r="202" spans="2:38" ht="15" customHeight="1" x14ac:dyDescent="0.3"/>
    <row r="203" spans="2:38" ht="15" customHeight="1" x14ac:dyDescent="0.3"/>
    <row r="204" spans="2:38" ht="15" customHeight="1" x14ac:dyDescent="0.3"/>
    <row r="205" spans="2:38" ht="13.8" x14ac:dyDescent="0.3"/>
  </sheetData>
  <sheetProtection algorithmName="SHA-512" hashValue="upvHlCyRw8YqCXVZCEECaSGYbnYkxhO6g1KNd14cfgEvQbxByD/QWPrw9HHcQDOqS1+geGLskEOttLAT3asEBQ==" saltValue="zrNOtc469MdBJOc0TGXxDQ==" spinCount="100000" sheet="1" objects="1" scenarios="1" selectLockedCells="1"/>
  <dataConsolidate/>
  <mergeCells count="343">
    <mergeCell ref="B53:H53"/>
    <mergeCell ref="B103:H103"/>
    <mergeCell ref="B155:H155"/>
    <mergeCell ref="B198:H198"/>
    <mergeCell ref="U82:W82"/>
    <mergeCell ref="AA14:AD14"/>
    <mergeCell ref="AA15:AD15"/>
    <mergeCell ref="M93:P93"/>
    <mergeCell ref="S72:U72"/>
    <mergeCell ref="S75:U75"/>
    <mergeCell ref="S76:U76"/>
    <mergeCell ref="L38:N38"/>
    <mergeCell ref="P38:R38"/>
    <mergeCell ref="L34:N34"/>
    <mergeCell ref="T26:V26"/>
    <mergeCell ref="T41:V41"/>
    <mergeCell ref="L26:N26"/>
    <mergeCell ref="L27:N27"/>
    <mergeCell ref="L28:N28"/>
    <mergeCell ref="L29:N29"/>
    <mergeCell ref="L30:N30"/>
    <mergeCell ref="L31:N31"/>
    <mergeCell ref="L32:N32"/>
    <mergeCell ref="N65:P65"/>
    <mergeCell ref="N67:P67"/>
    <mergeCell ref="E71:G71"/>
    <mergeCell ref="I71:K71"/>
    <mergeCell ref="AL142:AM142"/>
    <mergeCell ref="B108:C108"/>
    <mergeCell ref="M96:P96"/>
    <mergeCell ref="M97:P97"/>
    <mergeCell ref="M98:P98"/>
    <mergeCell ref="B71:D71"/>
    <mergeCell ref="F85:I85"/>
    <mergeCell ref="F86:H86"/>
    <mergeCell ref="O85:Q85"/>
    <mergeCell ref="O86:Q86"/>
    <mergeCell ref="B76:D76"/>
    <mergeCell ref="I75:K75"/>
    <mergeCell ref="I76:K76"/>
    <mergeCell ref="N72:P72"/>
    <mergeCell ref="N73:P73"/>
    <mergeCell ref="I107:K107"/>
    <mergeCell ref="S73:U73"/>
    <mergeCell ref="S71:U71"/>
    <mergeCell ref="N75:P75"/>
    <mergeCell ref="N76:P76"/>
    <mergeCell ref="S74:U74"/>
    <mergeCell ref="C93:E93"/>
    <mergeCell ref="I72:K72"/>
    <mergeCell ref="I73:K73"/>
    <mergeCell ref="F82:H82"/>
    <mergeCell ref="N71:P71"/>
    <mergeCell ref="F80:N80"/>
    <mergeCell ref="C97:E97"/>
    <mergeCell ref="H97:J97"/>
    <mergeCell ref="H93:J93"/>
    <mergeCell ref="H94:J94"/>
    <mergeCell ref="H95:J95"/>
    <mergeCell ref="H96:J96"/>
    <mergeCell ref="C96:E96"/>
    <mergeCell ref="M95:P95"/>
    <mergeCell ref="C98:E98"/>
    <mergeCell ref="N16:O16"/>
    <mergeCell ref="F34:G34"/>
    <mergeCell ref="J16:M16"/>
    <mergeCell ref="J17:M17"/>
    <mergeCell ref="J18:M18"/>
    <mergeCell ref="J19:M19"/>
    <mergeCell ref="J20:M20"/>
    <mergeCell ref="J21:M21"/>
    <mergeCell ref="D42:E47"/>
    <mergeCell ref="I39:J39"/>
    <mergeCell ref="L39:N39"/>
    <mergeCell ref="L40:N40"/>
    <mergeCell ref="L41:N41"/>
    <mergeCell ref="L42:N42"/>
    <mergeCell ref="L43:N43"/>
    <mergeCell ref="I26:J26"/>
    <mergeCell ref="F43:G43"/>
    <mergeCell ref="F44:G44"/>
    <mergeCell ref="F45:G45"/>
    <mergeCell ref="F46:G46"/>
    <mergeCell ref="F47:G47"/>
    <mergeCell ref="L44:N44"/>
    <mergeCell ref="L45:N45"/>
    <mergeCell ref="AV7:BI8"/>
    <mergeCell ref="P33:R33"/>
    <mergeCell ref="P32:R32"/>
    <mergeCell ref="P26:R26"/>
    <mergeCell ref="AF26:AH26"/>
    <mergeCell ref="AF29:AH29"/>
    <mergeCell ref="AF30:AH30"/>
    <mergeCell ref="T30:V30"/>
    <mergeCell ref="T31:V31"/>
    <mergeCell ref="T32:V32"/>
    <mergeCell ref="T33:V33"/>
    <mergeCell ref="X26:Z26"/>
    <mergeCell ref="X27:Z27"/>
    <mergeCell ref="X28:Z28"/>
    <mergeCell ref="X29:Z29"/>
    <mergeCell ref="P25:R25"/>
    <mergeCell ref="X25:Z25"/>
    <mergeCell ref="AB25:AD25"/>
    <mergeCell ref="W17:Z17"/>
    <mergeCell ref="E7:X7"/>
    <mergeCell ref="E8:X8"/>
    <mergeCell ref="W20:Z20"/>
    <mergeCell ref="W21:Z21"/>
    <mergeCell ref="F29:G29"/>
    <mergeCell ref="X39:Z39"/>
    <mergeCell ref="AB40:AD40"/>
    <mergeCell ref="D29:E34"/>
    <mergeCell ref="T25:V25"/>
    <mergeCell ref="F32:G32"/>
    <mergeCell ref="F33:G33"/>
    <mergeCell ref="AB27:AD27"/>
    <mergeCell ref="AB28:AD28"/>
    <mergeCell ref="AB29:AD29"/>
    <mergeCell ref="P27:R27"/>
    <mergeCell ref="P28:R28"/>
    <mergeCell ref="P29:R29"/>
    <mergeCell ref="P30:R30"/>
    <mergeCell ref="P31:R31"/>
    <mergeCell ref="AB31:AD31"/>
    <mergeCell ref="F30:G30"/>
    <mergeCell ref="F31:G31"/>
    <mergeCell ref="L33:N33"/>
    <mergeCell ref="T29:V29"/>
    <mergeCell ref="X30:Z30"/>
    <mergeCell ref="AB30:AD30"/>
    <mergeCell ref="AB26:AD26"/>
    <mergeCell ref="L25:N25"/>
    <mergeCell ref="X38:Z38"/>
    <mergeCell ref="X31:Z31"/>
    <mergeCell ref="X32:Z32"/>
    <mergeCell ref="X33:Z33"/>
    <mergeCell ref="X34:Z34"/>
    <mergeCell ref="AB34:AD34"/>
    <mergeCell ref="T34:V34"/>
    <mergeCell ref="P34:R34"/>
    <mergeCell ref="AB32:AD32"/>
    <mergeCell ref="AB33:AD33"/>
    <mergeCell ref="AB44:AD44"/>
    <mergeCell ref="AB45:AD45"/>
    <mergeCell ref="AB46:AD46"/>
    <mergeCell ref="AB47:AD47"/>
    <mergeCell ref="P44:R44"/>
    <mergeCell ref="P45:R45"/>
    <mergeCell ref="P46:R46"/>
    <mergeCell ref="P47:R47"/>
    <mergeCell ref="T47:V47"/>
    <mergeCell ref="T44:V44"/>
    <mergeCell ref="T45:V45"/>
    <mergeCell ref="T46:V46"/>
    <mergeCell ref="L46:N46"/>
    <mergeCell ref="L47:N47"/>
    <mergeCell ref="F42:G42"/>
    <mergeCell ref="X43:Z43"/>
    <mergeCell ref="T42:V42"/>
    <mergeCell ref="E67:G67"/>
    <mergeCell ref="D54:Y54"/>
    <mergeCell ref="AE54:AJ54"/>
    <mergeCell ref="N57:Q57"/>
    <mergeCell ref="N59:P59"/>
    <mergeCell ref="N60:P60"/>
    <mergeCell ref="E57:H57"/>
    <mergeCell ref="S67:U67"/>
    <mergeCell ref="I65:K65"/>
    <mergeCell ref="I67:K67"/>
    <mergeCell ref="S65:U65"/>
    <mergeCell ref="X65:Z65"/>
    <mergeCell ref="AC65:AE65"/>
    <mergeCell ref="E59:G59"/>
    <mergeCell ref="E60:G60"/>
    <mergeCell ref="E65:G65"/>
    <mergeCell ref="E58:G58"/>
    <mergeCell ref="AB42:AD42"/>
    <mergeCell ref="AB43:AD43"/>
    <mergeCell ref="AE8:AJ8"/>
    <mergeCell ref="AE55:AJ55"/>
    <mergeCell ref="AF44:AH44"/>
    <mergeCell ref="AF45:AH45"/>
    <mergeCell ref="AF46:AH46"/>
    <mergeCell ref="AF39:AH39"/>
    <mergeCell ref="P39:R39"/>
    <mergeCell ref="AB39:AD39"/>
    <mergeCell ref="P40:R40"/>
    <mergeCell ref="P41:R41"/>
    <mergeCell ref="P42:R42"/>
    <mergeCell ref="P43:R43"/>
    <mergeCell ref="AF34:AH34"/>
    <mergeCell ref="AF33:AH33"/>
    <mergeCell ref="AF31:AH31"/>
    <mergeCell ref="AF32:AH32"/>
    <mergeCell ref="T27:V27"/>
    <mergeCell ref="T28:V28"/>
    <mergeCell ref="AB41:AD41"/>
    <mergeCell ref="T43:V43"/>
    <mergeCell ref="X42:Z42"/>
    <mergeCell ref="X40:Z40"/>
    <mergeCell ref="X41:Z41"/>
    <mergeCell ref="AB38:AD38"/>
    <mergeCell ref="AD92:AG92"/>
    <mergeCell ref="B72:D72"/>
    <mergeCell ref="B73:D73"/>
    <mergeCell ref="H92:J92"/>
    <mergeCell ref="O88:R88"/>
    <mergeCell ref="B74:D74"/>
    <mergeCell ref="B75:D75"/>
    <mergeCell ref="C94:E94"/>
    <mergeCell ref="C95:E95"/>
    <mergeCell ref="W88:Z88"/>
    <mergeCell ref="W86:Y86"/>
    <mergeCell ref="AF86:AH86"/>
    <mergeCell ref="C92:E92"/>
    <mergeCell ref="M92:P92"/>
    <mergeCell ref="E73:G73"/>
    <mergeCell ref="M94:P94"/>
    <mergeCell ref="N74:P74"/>
    <mergeCell ref="M82:O82"/>
    <mergeCell ref="E74:G74"/>
    <mergeCell ref="E75:G75"/>
    <mergeCell ref="E76:G76"/>
    <mergeCell ref="E72:G72"/>
    <mergeCell ref="I74:K74"/>
    <mergeCell ref="U80:V80"/>
    <mergeCell ref="B110:C110"/>
    <mergeCell ref="B111:C111"/>
    <mergeCell ref="B112:C112"/>
    <mergeCell ref="B113:C113"/>
    <mergeCell ref="AC107:AE107"/>
    <mergeCell ref="AD99:AG99"/>
    <mergeCell ref="AE104:AJ104"/>
    <mergeCell ref="AE105:AJ105"/>
    <mergeCell ref="I113:K113"/>
    <mergeCell ref="I112:K112"/>
    <mergeCell ref="I111:K111"/>
    <mergeCell ref="I110:K110"/>
    <mergeCell ref="I109:K109"/>
    <mergeCell ref="I108:K108"/>
    <mergeCell ref="B109:C109"/>
    <mergeCell ref="U108:W108"/>
    <mergeCell ref="Y107:AA107"/>
    <mergeCell ref="U107:W107"/>
    <mergeCell ref="S99:U99"/>
    <mergeCell ref="H99:J99"/>
    <mergeCell ref="U109:W109"/>
    <mergeCell ref="D104:Y104"/>
    <mergeCell ref="AB101:AC101"/>
    <mergeCell ref="M108:O108"/>
    <mergeCell ref="AG107:AJ107"/>
    <mergeCell ref="AM116:AN116"/>
    <mergeCell ref="AG108:AI108"/>
    <mergeCell ref="AG109:AI109"/>
    <mergeCell ref="Q108:S108"/>
    <mergeCell ref="Y109:AA109"/>
    <mergeCell ref="Q109:S109"/>
    <mergeCell ref="Q110:S110"/>
    <mergeCell ref="Q111:S111"/>
    <mergeCell ref="Q112:S112"/>
    <mergeCell ref="Y108:AA108"/>
    <mergeCell ref="X97:Z97"/>
    <mergeCell ref="S98:U98"/>
    <mergeCell ref="X95:Z95"/>
    <mergeCell ref="X96:Z96"/>
    <mergeCell ref="S93:U93"/>
    <mergeCell ref="S94:U94"/>
    <mergeCell ref="S95:U95"/>
    <mergeCell ref="S96:U96"/>
    <mergeCell ref="AD97:AG97"/>
    <mergeCell ref="AD98:AG98"/>
    <mergeCell ref="S97:U97"/>
    <mergeCell ref="X98:Z98"/>
    <mergeCell ref="X93:Z93"/>
    <mergeCell ref="X94:Z94"/>
    <mergeCell ref="AD174:AH174"/>
    <mergeCell ref="AG110:AI110"/>
    <mergeCell ref="AG111:AI111"/>
    <mergeCell ref="AG112:AI112"/>
    <mergeCell ref="M110:O110"/>
    <mergeCell ref="M111:O111"/>
    <mergeCell ref="M112:O112"/>
    <mergeCell ref="F169:Z169"/>
    <mergeCell ref="F170:L170"/>
    <mergeCell ref="P170:S170"/>
    <mergeCell ref="U112:W112"/>
    <mergeCell ref="AG113:AI113"/>
    <mergeCell ref="U110:W110"/>
    <mergeCell ref="U111:W111"/>
    <mergeCell ref="F172:J172"/>
    <mergeCell ref="X170:Z170"/>
    <mergeCell ref="F167:Z167"/>
    <mergeCell ref="F168:Z168"/>
    <mergeCell ref="F171:Z171"/>
    <mergeCell ref="BO1:CC4"/>
    <mergeCell ref="N17:O17"/>
    <mergeCell ref="N18:O18"/>
    <mergeCell ref="N19:O19"/>
    <mergeCell ref="N20:O20"/>
    <mergeCell ref="N21:O21"/>
    <mergeCell ref="AA17:AB17"/>
    <mergeCell ref="AE17:AH17"/>
    <mergeCell ref="X92:Z92"/>
    <mergeCell ref="W1:AK4"/>
    <mergeCell ref="AF42:AH42"/>
    <mergeCell ref="AF43:AH43"/>
    <mergeCell ref="AF47:AH47"/>
    <mergeCell ref="X44:Z44"/>
    <mergeCell ref="X45:Z45"/>
    <mergeCell ref="X46:Z46"/>
    <mergeCell ref="X47:Z47"/>
    <mergeCell ref="AI17:AJ17"/>
    <mergeCell ref="AE14:AF14"/>
    <mergeCell ref="AE15:AF15"/>
    <mergeCell ref="T38:V38"/>
    <mergeCell ref="T39:V39"/>
    <mergeCell ref="T40:V40"/>
    <mergeCell ref="AE7:AJ7"/>
    <mergeCell ref="AC6:AJ6"/>
    <mergeCell ref="AE157:AJ157"/>
    <mergeCell ref="Y113:AA113"/>
    <mergeCell ref="D156:Y156"/>
    <mergeCell ref="AE156:AJ156"/>
    <mergeCell ref="AC113:AE113"/>
    <mergeCell ref="U113:W113"/>
    <mergeCell ref="B116:AJ122"/>
    <mergeCell ref="M113:O113"/>
    <mergeCell ref="Q113:S113"/>
    <mergeCell ref="S92:U92"/>
    <mergeCell ref="H98:J98"/>
    <mergeCell ref="M109:O109"/>
    <mergeCell ref="Y112:AA112"/>
    <mergeCell ref="Y106:AA106"/>
    <mergeCell ref="Y110:AA110"/>
    <mergeCell ref="Y111:AA111"/>
    <mergeCell ref="M107:O107"/>
    <mergeCell ref="Q107:S107"/>
    <mergeCell ref="AD96:AG96"/>
    <mergeCell ref="AC106:AE106"/>
    <mergeCell ref="AD93:AG93"/>
    <mergeCell ref="AD94:AG94"/>
    <mergeCell ref="AD95:AG95"/>
  </mergeCells>
  <conditionalFormatting sqref="B71">
    <cfRule type="expression" dxfId="273" priority="284">
      <formula>$AL$71=1</formula>
    </cfRule>
    <cfRule type="cellIs" priority="283" operator="greaterThan">
      <formula>0</formula>
    </cfRule>
  </conditionalFormatting>
  <conditionalFormatting sqref="B116">
    <cfRule type="cellIs" priority="840" stopIfTrue="1" operator="greaterThan">
      <formula>0</formula>
    </cfRule>
    <cfRule type="expression" dxfId="272" priority="841">
      <formula>$AL$177&gt;0</formula>
    </cfRule>
  </conditionalFormatting>
  <conditionalFormatting sqref="C51 F51">
    <cfRule type="expression" priority="15">
      <formula>$AL51=2</formula>
    </cfRule>
    <cfRule type="expression" dxfId="271" priority="16">
      <formula>$AL51=1</formula>
    </cfRule>
  </conditionalFormatting>
  <conditionalFormatting sqref="C92">
    <cfRule type="expression" dxfId="270" priority="473">
      <formula>ISBLANK($C$92)</formula>
    </cfRule>
    <cfRule type="cellIs" priority="472" operator="greaterThan">
      <formula>0</formula>
    </cfRule>
  </conditionalFormatting>
  <conditionalFormatting sqref="C126 F126">
    <cfRule type="expression" dxfId="269" priority="239">
      <formula>$AL$126=1</formula>
    </cfRule>
  </conditionalFormatting>
  <conditionalFormatting sqref="C126">
    <cfRule type="expression" dxfId="268" priority="240">
      <formula>$AM$126=2</formula>
    </cfRule>
  </conditionalFormatting>
  <conditionalFormatting sqref="C128 C148">
    <cfRule type="expression" dxfId="267" priority="147">
      <formula>$AM128=2</formula>
    </cfRule>
  </conditionalFormatting>
  <conditionalFormatting sqref="C144 F144">
    <cfRule type="expression" dxfId="266" priority="65">
      <formula>$AL144=1</formula>
    </cfRule>
  </conditionalFormatting>
  <conditionalFormatting sqref="D54 D104">
    <cfRule type="cellIs" dxfId="265" priority="413" operator="equal">
      <formula>0</formula>
    </cfRule>
  </conditionalFormatting>
  <conditionalFormatting sqref="D156">
    <cfRule type="cellIs" dxfId="264" priority="307" operator="equal">
      <formula>0</formula>
    </cfRule>
  </conditionalFormatting>
  <conditionalFormatting sqref="E7:E8">
    <cfRule type="expression" dxfId="263" priority="430">
      <formula>ISBLANK(E7)</formula>
    </cfRule>
  </conditionalFormatting>
  <conditionalFormatting sqref="E57 N57">
    <cfRule type="expression" dxfId="262" priority="387">
      <formula>ISBLANK(E57)</formula>
    </cfRule>
  </conditionalFormatting>
  <conditionalFormatting sqref="E58">
    <cfRule type="expression" dxfId="261" priority="315">
      <formula>$AL$58</formula>
    </cfRule>
    <cfRule type="cellIs" priority="314" stopIfTrue="1" operator="greaterThan">
      <formula>0</formula>
    </cfRule>
    <cfRule type="expression" priority="313" stopIfTrue="1">
      <formula>$AL$59=2</formula>
    </cfRule>
  </conditionalFormatting>
  <conditionalFormatting sqref="E62 I62">
    <cfRule type="expression" dxfId="260" priority="487">
      <formula>$AL$62=1</formula>
    </cfRule>
  </conditionalFormatting>
  <conditionalFormatting sqref="E65 E67">
    <cfRule type="expression" dxfId="259" priority="385">
      <formula>ISBLANK(E65)</formula>
    </cfRule>
  </conditionalFormatting>
  <conditionalFormatting sqref="E71:E76 I71 S71">
    <cfRule type="expression" dxfId="258" priority="305">
      <formula>$AL71=2</formula>
    </cfRule>
  </conditionalFormatting>
  <conditionalFormatting sqref="E71:E76">
    <cfRule type="cellIs" priority="304" stopIfTrue="1" operator="greaterThan">
      <formula>0</formula>
    </cfRule>
  </conditionalFormatting>
  <conditionalFormatting sqref="E59:G59 N59:P59">
    <cfRule type="cellIs" priority="33" stopIfTrue="1" operator="greaterThan">
      <formula>0</formula>
    </cfRule>
    <cfRule type="expression" dxfId="257" priority="34">
      <formula>$AL$59=1</formula>
    </cfRule>
    <cfRule type="expression" priority="32" stopIfTrue="1">
      <formula>$AL$58=2</formula>
    </cfRule>
  </conditionalFormatting>
  <conditionalFormatting sqref="E60:G60 N60:P60">
    <cfRule type="expression" dxfId="256" priority="262">
      <formula>ISBLANK(E60)</formula>
    </cfRule>
  </conditionalFormatting>
  <conditionalFormatting sqref="F10 M10 T10">
    <cfRule type="expression" dxfId="255" priority="410">
      <formula>ISBLANK(F10)</formula>
    </cfRule>
  </conditionalFormatting>
  <conditionalFormatting sqref="F12">
    <cfRule type="expression" dxfId="254" priority="24">
      <formula>ISBLANK(F12)</formula>
    </cfRule>
  </conditionalFormatting>
  <conditionalFormatting sqref="F80 F82 M82 U82">
    <cfRule type="expression" dxfId="253" priority="11">
      <formula>ISBLANK(F80)</formula>
    </cfRule>
  </conditionalFormatting>
  <conditionalFormatting sqref="F80 F82:H82 M82:O82 U82">
    <cfRule type="expression" priority="6" stopIfTrue="1">
      <formula>$AM$78=3</formula>
    </cfRule>
  </conditionalFormatting>
  <conditionalFormatting sqref="F144">
    <cfRule type="expression" dxfId="252" priority="1364">
      <formula>$AQ$144&gt;0</formula>
    </cfRule>
  </conditionalFormatting>
  <conditionalFormatting sqref="F146 C146">
    <cfRule type="expression" dxfId="251" priority="67">
      <formula>$AL146=1</formula>
    </cfRule>
  </conditionalFormatting>
  <conditionalFormatting sqref="F146">
    <cfRule type="expression" dxfId="250" priority="66">
      <formula>$AM$146=2</formula>
    </cfRule>
  </conditionalFormatting>
  <conditionalFormatting sqref="F167:F168">
    <cfRule type="expression" dxfId="249" priority="419">
      <formula>ISBLANK(F167)</formula>
    </cfRule>
  </conditionalFormatting>
  <conditionalFormatting sqref="F170:F172">
    <cfRule type="expression" dxfId="248" priority="246">
      <formula>ISBLANK(F170)</formula>
    </cfRule>
  </conditionalFormatting>
  <conditionalFormatting sqref="F85:I85 O85:Q86 F86:H86 W86:Y86 AF86:AH86">
    <cfRule type="expression" dxfId="247" priority="261">
      <formula>ISBLANK(F85)</formula>
    </cfRule>
  </conditionalFormatting>
  <conditionalFormatting sqref="F169:Z169">
    <cfRule type="expression" dxfId="246" priority="249">
      <formula>ISBLANK(F169)</formula>
    </cfRule>
  </conditionalFormatting>
  <conditionalFormatting sqref="G14 J14">
    <cfRule type="expression" dxfId="245" priority="112">
      <formula>$AL$14=1</formula>
    </cfRule>
  </conditionalFormatting>
  <conditionalFormatting sqref="H92">
    <cfRule type="expression" priority="280" stopIfTrue="1">
      <formula>$AN$92=2</formula>
    </cfRule>
  </conditionalFormatting>
  <conditionalFormatting sqref="H93 M93">
    <cfRule type="expression" dxfId="244" priority="362">
      <formula>$AL$93=2</formula>
    </cfRule>
  </conditionalFormatting>
  <conditionalFormatting sqref="H93:H98 M93:M98">
    <cfRule type="cellIs" priority="345" stopIfTrue="1" operator="greaterThan">
      <formula>0</formula>
    </cfRule>
  </conditionalFormatting>
  <conditionalFormatting sqref="H94 M94">
    <cfRule type="expression" dxfId="243" priority="360">
      <formula>$AL$94=2</formula>
    </cfRule>
  </conditionalFormatting>
  <conditionalFormatting sqref="H95 M95">
    <cfRule type="expression" dxfId="242" priority="358">
      <formula>$AL$95=2</formula>
    </cfRule>
  </conditionalFormatting>
  <conditionalFormatting sqref="H96 M96">
    <cfRule type="expression" dxfId="241" priority="356">
      <formula>$AL$96=2</formula>
    </cfRule>
  </conditionalFormatting>
  <conditionalFormatting sqref="H97 M97">
    <cfRule type="expression" dxfId="240" priority="354">
      <formula>$AL$97=2</formula>
    </cfRule>
  </conditionalFormatting>
  <conditionalFormatting sqref="H98 M98">
    <cfRule type="expression" dxfId="239" priority="352">
      <formula>$AL$98=2</formula>
    </cfRule>
  </conditionalFormatting>
  <conditionalFormatting sqref="H99:J99">
    <cfRule type="cellIs" dxfId="238" priority="145" operator="equal">
      <formula>0</formula>
    </cfRule>
  </conditionalFormatting>
  <conditionalFormatting sqref="I26">
    <cfRule type="expression" dxfId="237" priority="85">
      <formula>$AM$16=3</formula>
    </cfRule>
  </conditionalFormatting>
  <conditionalFormatting sqref="I39">
    <cfRule type="expression" dxfId="236" priority="81">
      <formula>$AM$16=3</formula>
    </cfRule>
  </conditionalFormatting>
  <conditionalFormatting sqref="I65 S65 I67 S67">
    <cfRule type="cellIs" dxfId="235" priority="488" operator="greaterThan">
      <formula>0</formula>
    </cfRule>
  </conditionalFormatting>
  <conditionalFormatting sqref="I65 S65">
    <cfRule type="expression" dxfId="234" priority="489">
      <formula>$AL$65=2</formula>
    </cfRule>
  </conditionalFormatting>
  <conditionalFormatting sqref="I67 S67">
    <cfRule type="expression" dxfId="233" priority="491">
      <formula>$AL$67=2</formula>
    </cfRule>
  </conditionalFormatting>
  <conditionalFormatting sqref="I71:I76 S71:S76">
    <cfRule type="cellIs" priority="291" stopIfTrue="1" operator="greaterThan">
      <formula>0</formula>
    </cfRule>
  </conditionalFormatting>
  <conditionalFormatting sqref="I72 S72">
    <cfRule type="expression" dxfId="232" priority="303">
      <formula>$AL$72=2</formula>
    </cfRule>
  </conditionalFormatting>
  <conditionalFormatting sqref="I73 S73">
    <cfRule type="expression" dxfId="231" priority="301">
      <formula>$AL$73=2</formula>
    </cfRule>
  </conditionalFormatting>
  <conditionalFormatting sqref="I74 S74">
    <cfRule type="expression" dxfId="230" priority="298">
      <formula>$AL$74=2</formula>
    </cfRule>
  </conditionalFormatting>
  <conditionalFormatting sqref="I75 S75">
    <cfRule type="expression" dxfId="229" priority="296">
      <formula>$AL$75=2</formula>
    </cfRule>
  </conditionalFormatting>
  <conditionalFormatting sqref="I76 S76">
    <cfRule type="expression" dxfId="228" priority="294">
      <formula>$AL$76=2</formula>
    </cfRule>
  </conditionalFormatting>
  <conditionalFormatting sqref="I108:I113">
    <cfRule type="expression" dxfId="227" priority="260">
      <formula>ISBLANK(I108)</formula>
    </cfRule>
  </conditionalFormatting>
  <conditionalFormatting sqref="I132 L132">
    <cfRule type="expression" dxfId="226" priority="54">
      <formula>$AL132=1</formula>
    </cfRule>
  </conditionalFormatting>
  <conditionalFormatting sqref="I132">
    <cfRule type="expression" dxfId="225" priority="53">
      <formula>$AM132=2</formula>
    </cfRule>
  </conditionalFormatting>
  <conditionalFormatting sqref="I138 L138">
    <cfRule type="expression" dxfId="224" priority="31">
      <formula>$AL138=1</formula>
    </cfRule>
  </conditionalFormatting>
  <conditionalFormatting sqref="I26:J26">
    <cfRule type="expression" dxfId="223" priority="84">
      <formula>$AL$14=1</formula>
    </cfRule>
  </conditionalFormatting>
  <conditionalFormatting sqref="I39:J39">
    <cfRule type="expression" dxfId="222" priority="80">
      <formula>$AL$14=1</formula>
    </cfRule>
  </conditionalFormatting>
  <conditionalFormatting sqref="J16:J20">
    <cfRule type="expression" dxfId="221" priority="426">
      <formula>ISBLANK(J16)</formula>
    </cfRule>
  </conditionalFormatting>
  <conditionalFormatting sqref="J21">
    <cfRule type="cellIs" dxfId="220" priority="267" operator="equal">
      <formula>0</formula>
    </cfRule>
  </conditionalFormatting>
  <conditionalFormatting sqref="J16:M21 P26:R26 T26:V26 X26:Z26 AB26:AD26 AF26:AH26 P39:R39 T39:V39 X39:Z39 AB39:AD39 AF39:AH39">
    <cfRule type="expression" dxfId="219" priority="101">
      <formula>$AM$16=1</formula>
    </cfRule>
    <cfRule type="expression" dxfId="218" priority="100">
      <formula>$AM$16=2</formula>
    </cfRule>
  </conditionalFormatting>
  <conditionalFormatting sqref="K101 N101">
    <cfRule type="expression" dxfId="217" priority="21">
      <formula>$AL101=1</formula>
    </cfRule>
  </conditionalFormatting>
  <conditionalFormatting sqref="L25">
    <cfRule type="expression" dxfId="216" priority="290">
      <formula>ISBLANK($L$25)</formula>
    </cfRule>
    <cfRule type="cellIs" priority="289" operator="greaterThan">
      <formula>0</formula>
    </cfRule>
  </conditionalFormatting>
  <conditionalFormatting sqref="L26:L34">
    <cfRule type="cellIs" dxfId="215" priority="451" stopIfTrue="1" operator="greaterThan">
      <formula>0</formula>
    </cfRule>
    <cfRule type="expression" dxfId="214" priority="452">
      <formula>$L$24=2</formula>
    </cfRule>
  </conditionalFormatting>
  <conditionalFormatting sqref="L38">
    <cfRule type="expression" dxfId="213" priority="450">
      <formula>ISBLANK($L$38)</formula>
    </cfRule>
    <cfRule type="cellIs" priority="449" operator="greaterThan">
      <formula>0</formula>
    </cfRule>
  </conditionalFormatting>
  <conditionalFormatting sqref="L39:L47">
    <cfRule type="expression" dxfId="212" priority="462">
      <formula>$L$37=2</formula>
    </cfRule>
    <cfRule type="cellIs" dxfId="211" priority="461" operator="greaterThan">
      <formula>0</formula>
    </cfRule>
  </conditionalFormatting>
  <conditionalFormatting sqref="L130 I130">
    <cfRule type="expression" dxfId="210" priority="1365">
      <formula>$AL130=1</formula>
    </cfRule>
  </conditionalFormatting>
  <conditionalFormatting sqref="L130">
    <cfRule type="expression" dxfId="209" priority="61">
      <formula>$AM130=2</formula>
    </cfRule>
  </conditionalFormatting>
  <conditionalFormatting sqref="L26:N26">
    <cfRule type="expression" dxfId="208" priority="77">
      <formula>$AM$16=1</formula>
    </cfRule>
    <cfRule type="expression" dxfId="207" priority="76">
      <formula>$AM$16=2</formula>
    </cfRule>
  </conditionalFormatting>
  <conditionalFormatting sqref="L39:N39">
    <cfRule type="expression" dxfId="206" priority="70">
      <formula>$AM$16=1</formula>
    </cfRule>
    <cfRule type="expression" dxfId="205" priority="69">
      <formula>$AM$16=2</formula>
    </cfRule>
  </conditionalFormatting>
  <conditionalFormatting sqref="M92 H92">
    <cfRule type="cellIs" priority="282" operator="greaterThan">
      <formula>0</formula>
    </cfRule>
    <cfRule type="expression" dxfId="204" priority="1360">
      <formula>$AL$92=2</formula>
    </cfRule>
  </conditionalFormatting>
  <conditionalFormatting sqref="M92">
    <cfRule type="expression" priority="281" stopIfTrue="1">
      <formula>$AO$92=2</formula>
    </cfRule>
  </conditionalFormatting>
  <conditionalFormatting sqref="N16:N21">
    <cfRule type="expression" dxfId="203" priority="109">
      <formula>$AM$16=3</formula>
    </cfRule>
  </conditionalFormatting>
  <conditionalFormatting sqref="N101">
    <cfRule type="expression" dxfId="202" priority="22">
      <formula>$AM101=2</formula>
    </cfRule>
  </conditionalFormatting>
  <conditionalFormatting sqref="N16:O21">
    <cfRule type="expression" dxfId="201" priority="108">
      <formula>$AL$14=1</formula>
    </cfRule>
  </conditionalFormatting>
  <conditionalFormatting sqref="O134 R134">
    <cfRule type="expression" dxfId="200" priority="58">
      <formula>$AM132=2</formula>
    </cfRule>
  </conditionalFormatting>
  <conditionalFormatting sqref="O136 R136">
    <cfRule type="expression" dxfId="199" priority="56">
      <formula>$AM132=2</formula>
    </cfRule>
  </conditionalFormatting>
  <conditionalFormatting sqref="O140 R140">
    <cfRule type="expression" dxfId="198" priority="29">
      <formula>$AM138=2</formula>
    </cfRule>
  </conditionalFormatting>
  <conditionalFormatting sqref="O88:R88 W88:Z88">
    <cfRule type="cellIs" dxfId="197" priority="73" operator="equal">
      <formula>0</formula>
    </cfRule>
  </conditionalFormatting>
  <conditionalFormatting sqref="O88:R88">
    <cfRule type="expression" dxfId="196" priority="1366">
      <formula>$AO$89=3</formula>
    </cfRule>
  </conditionalFormatting>
  <conditionalFormatting sqref="P26:P34">
    <cfRule type="cellIs" dxfId="195" priority="453" operator="greaterThan">
      <formula>0</formula>
    </cfRule>
    <cfRule type="expression" dxfId="194" priority="454">
      <formula>$P$24=2</formula>
    </cfRule>
  </conditionalFormatting>
  <conditionalFormatting sqref="P39:P47">
    <cfRule type="expression" dxfId="193" priority="464">
      <formula>$P$37=2</formula>
    </cfRule>
    <cfRule type="cellIs" dxfId="192" priority="463" operator="greaterThan">
      <formula>0</formula>
    </cfRule>
  </conditionalFormatting>
  <conditionalFormatting sqref="P170">
    <cfRule type="expression" dxfId="191" priority="247">
      <formula>ISBLANK(P170)</formula>
    </cfRule>
  </conditionalFormatting>
  <conditionalFormatting sqref="R134 O134">
    <cfRule type="expression" priority="57" stopIfTrue="1">
      <formula>$AL134=2</formula>
    </cfRule>
  </conditionalFormatting>
  <conditionalFormatting sqref="R134">
    <cfRule type="expression" dxfId="190" priority="52" stopIfTrue="1">
      <formula>$AM134=2</formula>
    </cfRule>
  </conditionalFormatting>
  <conditionalFormatting sqref="R136 O136">
    <cfRule type="expression" priority="55" stopIfTrue="1">
      <formula>$AL136=2</formula>
    </cfRule>
  </conditionalFormatting>
  <conditionalFormatting sqref="R136">
    <cfRule type="expression" dxfId="189" priority="51" stopIfTrue="1">
      <formula>$AM136=2</formula>
    </cfRule>
  </conditionalFormatting>
  <conditionalFormatting sqref="R140 O140">
    <cfRule type="expression" priority="28" stopIfTrue="1">
      <formula>$AL140=2</formula>
    </cfRule>
  </conditionalFormatting>
  <conditionalFormatting sqref="R140">
    <cfRule type="expression" dxfId="188" priority="27" stopIfTrue="1">
      <formula>$AM140=2</formula>
    </cfRule>
  </conditionalFormatting>
  <conditionalFormatting sqref="R142">
    <cfRule type="expression" dxfId="187" priority="26">
      <formula>$AM138=2</formula>
    </cfRule>
    <cfRule type="cellIs" priority="25" stopIfTrue="1" operator="greaterThan">
      <formula>0</formula>
    </cfRule>
  </conditionalFormatting>
  <conditionalFormatting sqref="S99">
    <cfRule type="cellIs" dxfId="186" priority="474" operator="lessThan">
      <formula>$H99</formula>
    </cfRule>
    <cfRule type="expression" dxfId="185" priority="255">
      <formula>ISBLANK(S99)</formula>
    </cfRule>
  </conditionalFormatting>
  <conditionalFormatting sqref="S99:U99">
    <cfRule type="expression" dxfId="184" priority="475">
      <formula>$AN$99=2</formula>
    </cfRule>
    <cfRule type="expression" priority="20" stopIfTrue="1">
      <formula>$H$99="0"</formula>
    </cfRule>
  </conditionalFormatting>
  <conditionalFormatting sqref="T12">
    <cfRule type="expression" dxfId="183" priority="23">
      <formula>ISBLANK(T12)</formula>
    </cfRule>
  </conditionalFormatting>
  <conditionalFormatting sqref="T26:T34">
    <cfRule type="cellIs" dxfId="182" priority="455" operator="greaterThan">
      <formula>0</formula>
    </cfRule>
    <cfRule type="expression" dxfId="181" priority="456">
      <formula>$T$24=2</formula>
    </cfRule>
  </conditionalFormatting>
  <conditionalFormatting sqref="T39:T47">
    <cfRule type="expression" dxfId="180" priority="466">
      <formula>$T$37=2</formula>
    </cfRule>
    <cfRule type="cellIs" dxfId="179" priority="465" operator="greaterThan">
      <formula>0</formula>
    </cfRule>
  </conditionalFormatting>
  <conditionalFormatting sqref="U80">
    <cfRule type="cellIs" priority="8" stopIfTrue="1" operator="greaterThan">
      <formula>0</formula>
    </cfRule>
    <cfRule type="expression" dxfId="178" priority="9">
      <formula>$AQ$80="Yes"</formula>
    </cfRule>
  </conditionalFormatting>
  <conditionalFormatting sqref="U82">
    <cfRule type="cellIs" dxfId="177" priority="37" operator="lessThan">
      <formula>$AS$80</formula>
    </cfRule>
  </conditionalFormatting>
  <conditionalFormatting sqref="U108:U111">
    <cfRule type="cellIs" dxfId="176" priority="228" operator="greaterThan">
      <formula>$W$86</formula>
    </cfRule>
  </conditionalFormatting>
  <conditionalFormatting sqref="U113">
    <cfRule type="expression" dxfId="175" priority="613">
      <formula>$AL$113&lt;1</formula>
    </cfRule>
  </conditionalFormatting>
  <conditionalFormatting sqref="U80:V80">
    <cfRule type="expression" dxfId="174" priority="5">
      <formula>$AQ$80="Yes"</formula>
    </cfRule>
  </conditionalFormatting>
  <conditionalFormatting sqref="U112:W112">
    <cfRule type="cellIs" dxfId="173" priority="150" operator="greaterThan">
      <formula>$W$86</formula>
    </cfRule>
  </conditionalFormatting>
  <conditionalFormatting sqref="W17:Z17">
    <cfRule type="expression" dxfId="172" priority="97">
      <formula>$AM$16=1</formula>
    </cfRule>
    <cfRule type="cellIs" dxfId="171" priority="266" operator="equal">
      <formula>0</formula>
    </cfRule>
    <cfRule type="expression" priority="265" stopIfTrue="1">
      <formula>$AL$17=1</formula>
    </cfRule>
    <cfRule type="expression" dxfId="170" priority="96">
      <formula>$AM$16=2</formula>
    </cfRule>
  </conditionalFormatting>
  <conditionalFormatting sqref="W20:Z21">
    <cfRule type="cellIs" dxfId="169" priority="103" operator="equal">
      <formula>0</formula>
    </cfRule>
    <cfRule type="expression" priority="102" stopIfTrue="1">
      <formula>$AL$17=1</formula>
    </cfRule>
  </conditionalFormatting>
  <conditionalFormatting sqref="W88:Z88">
    <cfRule type="expression" dxfId="168" priority="1367">
      <formula>$AQ$89=3</formula>
    </cfRule>
  </conditionalFormatting>
  <conditionalFormatting sqref="X26:X34">
    <cfRule type="expression" dxfId="167" priority="458">
      <formula>$X$24=2</formula>
    </cfRule>
    <cfRule type="cellIs" dxfId="166" priority="457" operator="greaterThan">
      <formula>0</formula>
    </cfRule>
  </conditionalFormatting>
  <conditionalFormatting sqref="X39:X47">
    <cfRule type="cellIs" dxfId="165" priority="467" operator="greaterThan">
      <formula>0</formula>
    </cfRule>
    <cfRule type="expression" dxfId="164" priority="468">
      <formula>$X$37=2</formula>
    </cfRule>
  </conditionalFormatting>
  <conditionalFormatting sqref="X65">
    <cfRule type="expression" dxfId="163" priority="244">
      <formula>$AL$65=2</formula>
    </cfRule>
    <cfRule type="cellIs" dxfId="162" priority="243" operator="greaterThan">
      <formula>0</formula>
    </cfRule>
  </conditionalFormatting>
  <conditionalFormatting sqref="X92 AD92">
    <cfRule type="expression" dxfId="161" priority="344">
      <formula>$AM$92=2</formula>
    </cfRule>
  </conditionalFormatting>
  <conditionalFormatting sqref="X92:X93 AD92:AD93">
    <cfRule type="cellIs" priority="341" stopIfTrue="1" operator="greaterThan">
      <formula>0</formula>
    </cfRule>
  </conditionalFormatting>
  <conditionalFormatting sqref="X93 AD93">
    <cfRule type="expression" dxfId="160" priority="342">
      <formula>$AM$93=2</formula>
    </cfRule>
  </conditionalFormatting>
  <conditionalFormatting sqref="X94 AD94">
    <cfRule type="expression" dxfId="159" priority="340">
      <formula>$AM$94=2</formula>
    </cfRule>
    <cfRule type="cellIs" priority="339" stopIfTrue="1" operator="greaterThan">
      <formula>1</formula>
    </cfRule>
  </conditionalFormatting>
  <conditionalFormatting sqref="X95 AD95">
    <cfRule type="expression" dxfId="158" priority="338">
      <formula>$AM$95=2</formula>
    </cfRule>
  </conditionalFormatting>
  <conditionalFormatting sqref="X95:X98 AD95:AD98">
    <cfRule type="cellIs" priority="327" stopIfTrue="1" operator="greaterThan">
      <formula>0</formula>
    </cfRule>
  </conditionalFormatting>
  <conditionalFormatting sqref="X96 AD96">
    <cfRule type="expression" dxfId="157" priority="336">
      <formula>$AM$96=2</formula>
    </cfRule>
  </conditionalFormatting>
  <conditionalFormatting sqref="X97 AD97">
    <cfRule type="expression" dxfId="156" priority="334">
      <formula>$AM$97=2</formula>
    </cfRule>
  </conditionalFormatting>
  <conditionalFormatting sqref="X98 AD98">
    <cfRule type="expression" dxfId="155" priority="332">
      <formula>$AM$98=2</formula>
    </cfRule>
  </conditionalFormatting>
  <conditionalFormatting sqref="X170">
    <cfRule type="expression" dxfId="154" priority="248">
      <formula>ISBLANK(X170)</formula>
    </cfRule>
  </conditionalFormatting>
  <conditionalFormatting sqref="Y108:Y113">
    <cfRule type="expression" dxfId="153" priority="74" stopIfTrue="1">
      <formula>ISBLANK(Y108)</formula>
    </cfRule>
    <cfRule type="cellIs" dxfId="152" priority="75" operator="greaterThan">
      <formula>$AM$114</formula>
    </cfRule>
  </conditionalFormatting>
  <conditionalFormatting sqref="Z23 AC23 AF23 AI23">
    <cfRule type="expression" dxfId="151" priority="1362">
      <formula>$AL23=1</formula>
    </cfRule>
    <cfRule type="expression" priority="1361" stopIfTrue="1">
      <formula>$AL23=2</formula>
    </cfRule>
  </conditionalFormatting>
  <conditionalFormatting sqref="AA14:AA15">
    <cfRule type="expression" dxfId="150" priority="427">
      <formula>ISBLANK(AA14)</formula>
    </cfRule>
  </conditionalFormatting>
  <conditionalFormatting sqref="AA17">
    <cfRule type="expression" dxfId="149" priority="107">
      <formula>$AM$16=3</formula>
    </cfRule>
  </conditionalFormatting>
  <conditionalFormatting sqref="AA17:AB17">
    <cfRule type="expression" dxfId="148" priority="106">
      <formula>$AL$14=1</formula>
    </cfRule>
  </conditionalFormatting>
  <conditionalFormatting sqref="AA14:AD15">
    <cfRule type="expression" dxfId="147" priority="99">
      <formula>$AM$16=1</formula>
    </cfRule>
    <cfRule type="expression" dxfId="146" priority="98">
      <formula>$AM$16=2</formula>
    </cfRule>
  </conditionalFormatting>
  <conditionalFormatting sqref="AB10">
    <cfRule type="expression" dxfId="145" priority="63">
      <formula>ISBLANK(AB10)</formula>
    </cfRule>
  </conditionalFormatting>
  <conditionalFormatting sqref="AB26:AB34">
    <cfRule type="cellIs" dxfId="144" priority="459" operator="greaterThan">
      <formula>0</formula>
    </cfRule>
    <cfRule type="expression" dxfId="143" priority="460">
      <formula>$AB$24=2</formula>
    </cfRule>
  </conditionalFormatting>
  <conditionalFormatting sqref="AB39:AB47">
    <cfRule type="expression" dxfId="142" priority="470">
      <formula>$AB$37=2</formula>
    </cfRule>
    <cfRule type="cellIs" dxfId="141" priority="469" operator="greaterThan">
      <formula>0</formula>
    </cfRule>
  </conditionalFormatting>
  <conditionalFormatting sqref="AB101">
    <cfRule type="expression" dxfId="140" priority="1476">
      <formula>$AN$101=1</formula>
    </cfRule>
    <cfRule type="expression" dxfId="139" priority="1477">
      <formula>ISBLANK(AB101)</formula>
    </cfRule>
  </conditionalFormatting>
  <conditionalFormatting sqref="AC6">
    <cfRule type="cellIs" dxfId="138" priority="68" operator="equal">
      <formula>0</formula>
    </cfRule>
  </conditionalFormatting>
  <conditionalFormatting sqref="AC65">
    <cfRule type="expression" dxfId="137" priority="242">
      <formula>$AL$65=2</formula>
    </cfRule>
    <cfRule type="cellIs" dxfId="136" priority="241" operator="greaterThan">
      <formula>0</formula>
    </cfRule>
  </conditionalFormatting>
  <conditionalFormatting sqref="AC113">
    <cfRule type="cellIs" dxfId="135" priority="842" operator="greaterThan">
      <formula>$AM$114</formula>
    </cfRule>
  </conditionalFormatting>
  <conditionalFormatting sqref="AD99 M108:M113 Q108:Q113 U108:U113 AC113">
    <cfRule type="expression" dxfId="134" priority="1" stopIfTrue="1">
      <formula>ISBLANK(M99)</formula>
    </cfRule>
  </conditionalFormatting>
  <conditionalFormatting sqref="AD174">
    <cfRule type="expression" dxfId="133" priority="417">
      <formula>ISBLANK(AD174)</formula>
    </cfRule>
  </conditionalFormatting>
  <conditionalFormatting sqref="AD99:AG99">
    <cfRule type="expression" dxfId="132" priority="412">
      <formula>$AO$99=2</formula>
    </cfRule>
  </conditionalFormatting>
  <conditionalFormatting sqref="AE14:AE15">
    <cfRule type="expression" dxfId="131" priority="111">
      <formula>$AM$16=3</formula>
    </cfRule>
  </conditionalFormatting>
  <conditionalFormatting sqref="AE14:AF15">
    <cfRule type="expression" dxfId="130" priority="110">
      <formula>$AL$14=1</formula>
    </cfRule>
  </conditionalFormatting>
  <conditionalFormatting sqref="AE17:AH17">
    <cfRule type="expression" priority="104" stopIfTrue="1">
      <formula>$AL$17=1</formula>
    </cfRule>
    <cfRule type="cellIs" dxfId="129" priority="105" operator="equal">
      <formula>0</formula>
    </cfRule>
  </conditionalFormatting>
  <conditionalFormatting sqref="AE7:AJ8">
    <cfRule type="expression" dxfId="128" priority="263">
      <formula>ISBLANK(AE7)</formula>
    </cfRule>
  </conditionalFormatting>
  <conditionalFormatting sqref="AE54:AJ55">
    <cfRule type="cellIs" dxfId="127" priority="252" operator="equal">
      <formula>0</formula>
    </cfRule>
  </conditionalFormatting>
  <conditionalFormatting sqref="AE104:AJ105">
    <cfRule type="cellIs" dxfId="126" priority="251" operator="equal">
      <formula>0</formula>
    </cfRule>
  </conditionalFormatting>
  <conditionalFormatting sqref="AE156:AJ157">
    <cfRule type="cellIs" dxfId="125" priority="250" operator="equal">
      <formula>0</formula>
    </cfRule>
  </conditionalFormatting>
  <conditionalFormatting sqref="AF57 AI57">
    <cfRule type="expression" dxfId="124" priority="4">
      <formula>$AL$57=1</formula>
    </cfRule>
  </conditionalFormatting>
  <conditionalFormatting sqref="AF67 AI67">
    <cfRule type="expression" dxfId="123" priority="1478">
      <formula>$AM$67=1</formula>
    </cfRule>
  </conditionalFormatting>
  <conditionalFormatting sqref="AF69 AI69 C128 F128 C148 F148 C152 F152">
    <cfRule type="expression" dxfId="122" priority="146">
      <formula>$AL69=1</formula>
    </cfRule>
  </conditionalFormatting>
  <conditionalFormatting sqref="AF71 AI71">
    <cfRule type="expression" dxfId="121" priority="35">
      <formula>$AN71=1</formula>
    </cfRule>
  </conditionalFormatting>
  <conditionalFormatting sqref="AF78 AI78">
    <cfRule type="expression" dxfId="120" priority="12">
      <formula>$AL78=1</formula>
    </cfRule>
    <cfRule type="expression" priority="2">
      <formula>$AL78=2</formula>
    </cfRule>
  </conditionalFormatting>
  <conditionalFormatting sqref="AF80 AI80 AF82 AI82">
    <cfRule type="expression" priority="10" stopIfTrue="1">
      <formula>$AM$78=3</formula>
    </cfRule>
    <cfRule type="expression" dxfId="119" priority="1383">
      <formula>$AO80=1</formula>
    </cfRule>
  </conditionalFormatting>
  <conditionalFormatting sqref="AF84 AI84">
    <cfRule type="expression" dxfId="118" priority="3">
      <formula>$AL84=1</formula>
    </cfRule>
  </conditionalFormatting>
  <conditionalFormatting sqref="AF29:AH34 AF42:AH47">
    <cfRule type="expression" dxfId="117" priority="264">
      <formula>ISBLANK(AF29)</formula>
    </cfRule>
  </conditionalFormatting>
  <conditionalFormatting sqref="AF30:AH34">
    <cfRule type="cellIs" dxfId="116" priority="258" operator="equal">
      <formula>0</formula>
    </cfRule>
  </conditionalFormatting>
  <conditionalFormatting sqref="AF43:AH47">
    <cfRule type="cellIs" dxfId="115" priority="257" operator="equal">
      <formula>0</formula>
    </cfRule>
  </conditionalFormatting>
  <conditionalFormatting sqref="AG108:AG113">
    <cfRule type="expression" dxfId="114" priority="143">
      <formula>ISBLANK(AG108)</formula>
    </cfRule>
    <cfRule type="expression" dxfId="113" priority="229">
      <formula>$AN108=1</formula>
    </cfRule>
  </conditionalFormatting>
  <conditionalFormatting sqref="AG108:AI113">
    <cfRule type="expression" dxfId="112" priority="481">
      <formula>$AP108=1</formula>
    </cfRule>
    <cfRule type="expression" dxfId="111" priority="321">
      <formula>$AO108=1</formula>
    </cfRule>
  </conditionalFormatting>
  <conditionalFormatting sqref="AI57">
    <cfRule type="expression" dxfId="110" priority="494">
      <formula>$AM$57=2</formula>
    </cfRule>
  </conditionalFormatting>
  <conditionalFormatting sqref="AI67">
    <cfRule type="expression" dxfId="109" priority="1480">
      <formula>$AN$67=2</formula>
    </cfRule>
  </conditionalFormatting>
  <conditionalFormatting sqref="AI80 AI82">
    <cfRule type="expression" dxfId="108" priority="1385">
      <formula>$AP80=2</formula>
    </cfRule>
  </conditionalFormatting>
  <conditionalFormatting sqref="AI84">
    <cfRule type="expression" dxfId="107" priority="41">
      <formula>$AQ$84=2</formula>
    </cfRule>
  </conditionalFormatting>
  <dataValidations count="2">
    <dataValidation type="list" allowBlank="1" showInputMessage="1" showErrorMessage="1" sqref="O85:Q85 N57:Q57 E71:G76 E65:G65 E67:G67" xr:uid="{DA2C8436-B703-4142-BC5C-9FC31B81A6C7}">
      <formula1>Shape</formula1>
    </dataValidation>
    <dataValidation type="list" allowBlank="1" showInputMessage="1" showErrorMessage="1" sqref="E57:H57 F85:I85" xr:uid="{F9FCB241-036B-4D7D-BBE2-FAC3AE116326}">
      <formula1>Material</formula1>
    </dataValidation>
  </dataValidations>
  <pageMargins left="0.2" right="0.2" top="0.5" bottom="0.25" header="0.3" footer="0.3"/>
  <pageSetup fitToWidth="0" orientation="portrait" r:id="rId1"/>
  <rowBreaks count="3" manualBreakCount="3">
    <brk id="53" max="16383" man="1"/>
    <brk id="103" max="16383" man="1"/>
    <brk id="155"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998F1E98-0479-4245-8F54-19F93D4CF78E}">
          <x14:formula1>
            <xm:f>Tables!$F$2:$F$7</xm:f>
          </x14:formula1>
          <xm:sqref>F68:I68</xm:sqref>
        </x14:dataValidation>
        <x14:dataValidation type="list" allowBlank="1" showInputMessage="1" showErrorMessage="1" xr:uid="{5A32B99B-E12D-45B5-BEED-B8F99C498171}">
          <x14:formula1>
            <xm:f>Tables!$H$2:$H$5</xm:f>
          </x14:formula1>
          <xm:sqref>B71</xm:sqref>
        </x14:dataValidation>
        <x14:dataValidation type="list" allowBlank="1" showInputMessage="1" showErrorMessage="1" xr:uid="{0A75D05C-E913-4A6F-B739-B4602DDB4488}">
          <x14:formula1>
            <xm:f>Tables!$H$2:$H$4</xm:f>
          </x14:formula1>
          <xm:sqref>B72:B76</xm:sqref>
        </x14:dataValidation>
        <x14:dataValidation type="list" allowBlank="1" showInputMessage="1" showErrorMessage="1" xr:uid="{CD9E10F7-691C-4D5C-A5FE-F7A79203B9BA}">
          <x14:formula1>
            <xm:f>Tables!$H$9:$H$14</xm:f>
          </x14:formula1>
          <xm:sqref>F80</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306CA1BD-32A3-469F-958A-33B9DA150433}">
          <x14:formula1>
            <xm:f>Tables!$B$8</xm:f>
          </x14:formula1>
          <xm:sqref>AD174:AH174 E7:X8 K101 F10 M10 T10 AB10 G14 J14 AA14:AD15 J16:M20 Z23 AC23 AF23 AI23 L25:N34 P25:R34 T25:V34 X25:Z34 AB25:AD34 AF26:AH26 AF29:AH34 L38:N47 P38:R47 T38:V47 X38:Z47 AB38:AD47 AF39:AH39 AF42:AH47 AF57 AI57 E58:G60 N59:P60 E62 I62 N67:P67 S67:U67 X65:Z65 AC65:AE65 AF78 AF69 AI69 AI71 AF71 N71:P76 S71:U76 F51:F52 AF84 AI84 F86:H86 O86:Q86 W86:Y86 AF86:AH86 O88:R88 W88:Z88 AF80 AI80 AI82 AF82 M82 F82 AC113:AE113 C92:E98 H92:J98 M92:P98 X92:Z98 I108:K113 M108:O113 Q108:S113 U108:W113 Y108:AA113 AC6 AG108:AI113 B116:AJ122 C126 F126 C128 F128 I130 L130 I132 L132 O134 R134 O136 R136 C144 F144 C152 F152 C146 F146 C148 F148 I150 L150 F167:Z169 F170:L170 P170:S170 X170:Z170 F171:Z171 F172:J172 AE7:AJ8 I138 L138 O140 R140 F12 T12 N101 U82 AI78 C51 I71:K76 S65:U65 N65:P65 I65:K65 I67:K67 AF67 AI67 AB101:AC101 S92:U99 AD92:AG99</xm:sqref>
        </x14:dataValidation>
        <x14:dataValidation type="list" allowBlank="1" showInputMessage="1" showErrorMessage="1" xr:uid="{72D3C7D6-C1F4-4077-B8A1-E667AE5D468F}">
          <x14:formula1>
            <xm:f>Tables!$K$27:$K$30</xm:f>
          </x14:formula1>
          <xm:sqref>R142</xm:sqref>
        </x14:dataValidation>
        <x14:dataValidation type="list" allowBlank="1" showInputMessage="1" showErrorMessage="1" xr:uid="{48247E94-3DBB-460C-B4D6-82E35A1B0936}">
          <x14:formula1>
            <xm:f>Tables!$H$18:$H$22</xm:f>
          </x14:formula1>
          <xm:sqref>U80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C2E40-779F-4ADC-9DBC-41371F4FD686}">
  <sheetPr codeName="Sheet2">
    <tabColor theme="8" tint="0.39997558519241921"/>
  </sheetPr>
  <dimension ref="A1:CG235"/>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1" width="2.33203125" style="4" customWidth="1"/>
    <col min="2" max="9" width="2.77734375" style="4" customWidth="1"/>
    <col min="10" max="10" width="1.77734375" style="4" customWidth="1"/>
    <col min="11" max="11" width="2.77734375" style="4" customWidth="1"/>
    <col min="12" max="12" width="3.77734375" style="4" customWidth="1"/>
    <col min="13" max="26" width="2.77734375" style="4" customWidth="1"/>
    <col min="27" max="27" width="1.77734375" style="4" customWidth="1"/>
    <col min="28" max="35" width="2.77734375" style="4" customWidth="1"/>
    <col min="36" max="36" width="1.77734375" style="4" customWidth="1"/>
    <col min="37" max="38" width="2.77734375" style="4" customWidth="1"/>
    <col min="39" max="39" width="10.33203125" style="42" hidden="1" customWidth="1"/>
    <col min="40" max="40" width="9.21875" style="42" hidden="1" customWidth="1"/>
    <col min="41" max="41" width="9" style="72" hidden="1" customWidth="1"/>
    <col min="42" max="44" width="10" style="72" hidden="1" customWidth="1"/>
    <col min="45" max="46" width="11.21875" style="72" hidden="1" customWidth="1"/>
    <col min="47" max="47" width="3.77734375" style="4" customWidth="1"/>
    <col min="48" max="48" width="3.77734375" style="47" customWidth="1"/>
    <col min="49" max="50" width="3.77734375" style="4" customWidth="1"/>
    <col min="51" max="81" width="2.77734375" style="4" customWidth="1"/>
    <col min="82" max="16384" width="8.88671875" style="4" hidden="1"/>
  </cols>
  <sheetData>
    <row r="1" spans="1:85" ht="15" customHeight="1" x14ac:dyDescent="0.3">
      <c r="P1" s="5"/>
      <c r="Q1" s="5"/>
      <c r="R1" s="5"/>
      <c r="S1" s="5"/>
      <c r="T1" s="5"/>
      <c r="V1" s="188" t="s">
        <v>49</v>
      </c>
      <c r="W1" s="188"/>
      <c r="X1" s="188"/>
      <c r="Y1" s="188"/>
      <c r="Z1" s="188"/>
      <c r="AA1" s="188"/>
      <c r="AB1" s="188"/>
      <c r="AC1" s="188"/>
      <c r="AD1" s="188"/>
      <c r="AE1" s="188"/>
      <c r="AF1" s="188"/>
      <c r="AG1" s="188"/>
      <c r="AH1" s="188"/>
      <c r="AI1" s="188"/>
      <c r="AJ1" s="188"/>
      <c r="AK1" s="188"/>
      <c r="AL1" s="188"/>
      <c r="BK1" s="22"/>
      <c r="BL1" s="188" t="s">
        <v>49</v>
      </c>
      <c r="BM1" s="188"/>
      <c r="BN1" s="188"/>
      <c r="BO1" s="188"/>
      <c r="BP1" s="188"/>
      <c r="BQ1" s="188"/>
      <c r="BR1" s="188"/>
      <c r="BS1" s="188"/>
      <c r="BT1" s="188"/>
      <c r="BU1" s="188"/>
      <c r="BV1" s="188"/>
      <c r="BW1" s="188"/>
      <c r="BX1" s="188"/>
      <c r="BY1" s="188"/>
      <c r="BZ1" s="188"/>
      <c r="CA1" s="188"/>
      <c r="CB1" s="22"/>
      <c r="CC1" s="22"/>
      <c r="CD1" s="22"/>
      <c r="CE1" s="22"/>
      <c r="CF1" s="22"/>
      <c r="CG1" s="22"/>
    </row>
    <row r="2" spans="1:85" ht="15" customHeight="1" x14ac:dyDescent="0.3">
      <c r="S2" s="5"/>
      <c r="T2" s="5"/>
      <c r="U2" s="22"/>
      <c r="V2" s="188"/>
      <c r="W2" s="188"/>
      <c r="X2" s="188"/>
      <c r="Y2" s="188"/>
      <c r="Z2" s="188"/>
      <c r="AA2" s="188"/>
      <c r="AB2" s="188"/>
      <c r="AC2" s="188"/>
      <c r="AD2" s="188"/>
      <c r="AE2" s="188"/>
      <c r="AF2" s="188"/>
      <c r="AG2" s="188"/>
      <c r="AH2" s="188"/>
      <c r="AI2" s="188"/>
      <c r="AJ2" s="188"/>
      <c r="AK2" s="188"/>
      <c r="AL2" s="188"/>
      <c r="BI2" s="22"/>
      <c r="BJ2" s="22"/>
      <c r="BK2" s="22"/>
      <c r="BL2" s="188"/>
      <c r="BM2" s="188"/>
      <c r="BN2" s="188"/>
      <c r="BO2" s="188"/>
      <c r="BP2" s="188"/>
      <c r="BQ2" s="188"/>
      <c r="BR2" s="188"/>
      <c r="BS2" s="188"/>
      <c r="BT2" s="188"/>
      <c r="BU2" s="188"/>
      <c r="BV2" s="188"/>
      <c r="BW2" s="188"/>
      <c r="BX2" s="188"/>
      <c r="BY2" s="188"/>
      <c r="BZ2" s="188"/>
      <c r="CA2" s="188"/>
      <c r="CB2" s="22"/>
      <c r="CC2" s="22"/>
      <c r="CD2" s="22"/>
      <c r="CE2" s="22"/>
      <c r="CF2" s="22"/>
      <c r="CG2" s="22"/>
    </row>
    <row r="3" spans="1:85" ht="15" customHeight="1" x14ac:dyDescent="0.3">
      <c r="K3" s="5"/>
      <c r="L3" s="5"/>
      <c r="M3" s="5"/>
      <c r="N3" s="5"/>
      <c r="O3" s="5"/>
      <c r="P3" s="5"/>
      <c r="Q3" s="5"/>
      <c r="R3" s="5"/>
      <c r="S3" s="5"/>
      <c r="T3" s="5"/>
      <c r="U3" s="22"/>
      <c r="V3" s="188"/>
      <c r="W3" s="188"/>
      <c r="X3" s="188"/>
      <c r="Y3" s="188"/>
      <c r="Z3" s="188"/>
      <c r="AA3" s="188"/>
      <c r="AB3" s="188"/>
      <c r="AC3" s="188"/>
      <c r="AD3" s="188"/>
      <c r="AE3" s="188"/>
      <c r="AF3" s="188"/>
      <c r="AG3" s="188"/>
      <c r="AH3" s="188"/>
      <c r="AI3" s="188"/>
      <c r="AJ3" s="188"/>
      <c r="AK3" s="188"/>
      <c r="AL3" s="188"/>
      <c r="BI3" s="22"/>
      <c r="BJ3" s="22"/>
      <c r="BK3" s="22"/>
      <c r="BL3" s="188"/>
      <c r="BM3" s="188"/>
      <c r="BN3" s="188"/>
      <c r="BO3" s="188"/>
      <c r="BP3" s="188"/>
      <c r="BQ3" s="188"/>
      <c r="BR3" s="188"/>
      <c r="BS3" s="188"/>
      <c r="BT3" s="188"/>
      <c r="BU3" s="188"/>
      <c r="BV3" s="188"/>
      <c r="BW3" s="188"/>
      <c r="BX3" s="188"/>
      <c r="BY3" s="188"/>
      <c r="BZ3" s="188"/>
      <c r="CA3" s="188"/>
      <c r="CB3" s="22"/>
      <c r="CC3" s="22"/>
      <c r="CD3" s="22"/>
      <c r="CE3" s="22"/>
      <c r="CF3" s="22"/>
      <c r="CG3" s="22"/>
    </row>
    <row r="4" spans="1:85" ht="15" customHeight="1" x14ac:dyDescent="0.3">
      <c r="K4" s="5"/>
      <c r="L4" s="5"/>
      <c r="M4" s="5"/>
      <c r="N4" s="5"/>
      <c r="O4" s="5"/>
      <c r="P4" s="5"/>
      <c r="Q4" s="5"/>
      <c r="R4" s="5"/>
      <c r="S4" s="5"/>
      <c r="T4" s="5"/>
      <c r="U4" s="22"/>
      <c r="V4" s="188"/>
      <c r="W4" s="188"/>
      <c r="X4" s="188"/>
      <c r="Y4" s="188"/>
      <c r="Z4" s="188"/>
      <c r="AA4" s="188"/>
      <c r="AB4" s="188"/>
      <c r="AC4" s="188"/>
      <c r="AD4" s="188"/>
      <c r="AE4" s="188"/>
      <c r="AF4" s="188"/>
      <c r="AG4" s="188"/>
      <c r="AH4" s="188"/>
      <c r="AI4" s="188"/>
      <c r="AJ4" s="188"/>
      <c r="AK4" s="188"/>
      <c r="AL4" s="188"/>
      <c r="BJ4" s="22"/>
      <c r="BK4" s="22"/>
      <c r="BL4" s="188"/>
      <c r="BM4" s="188"/>
      <c r="BN4" s="188"/>
      <c r="BO4" s="188"/>
      <c r="BP4" s="188"/>
      <c r="BQ4" s="188"/>
      <c r="BR4" s="188"/>
      <c r="BS4" s="188"/>
      <c r="BT4" s="188"/>
      <c r="BU4" s="188"/>
      <c r="BV4" s="188"/>
      <c r="BW4" s="188"/>
      <c r="BX4" s="188"/>
      <c r="BY4" s="188"/>
      <c r="BZ4" s="188"/>
      <c r="CA4" s="188"/>
      <c r="CB4" s="22"/>
      <c r="CC4" s="22"/>
      <c r="CD4" s="22"/>
      <c r="CE4" s="22"/>
      <c r="CF4" s="22"/>
      <c r="CG4" s="22"/>
    </row>
    <row r="5" spans="1:85" ht="4.95" customHeight="1" x14ac:dyDescent="0.3">
      <c r="K5" s="5"/>
      <c r="L5" s="5"/>
      <c r="M5" s="5"/>
      <c r="N5" s="5"/>
      <c r="O5" s="5"/>
      <c r="P5" s="5"/>
      <c r="Q5" s="5"/>
      <c r="R5" s="5"/>
      <c r="S5" s="5"/>
      <c r="T5" s="5"/>
      <c r="U5" s="11"/>
      <c r="V5" s="11"/>
      <c r="W5" s="11"/>
      <c r="X5" s="11"/>
      <c r="Y5" s="11"/>
      <c r="Z5" s="11"/>
      <c r="AA5" s="11"/>
      <c r="AB5" s="11"/>
      <c r="AC5" s="11"/>
      <c r="AD5" s="11"/>
      <c r="AE5" s="11"/>
      <c r="AF5" s="11"/>
      <c r="AG5" s="11"/>
      <c r="AH5" s="11"/>
      <c r="AI5" s="11"/>
      <c r="AJ5" s="11"/>
      <c r="AK5" s="11"/>
      <c r="AL5" s="11"/>
      <c r="BJ5" s="11"/>
      <c r="BK5" s="11"/>
      <c r="BL5" s="11"/>
      <c r="BM5" s="11"/>
      <c r="BN5" s="11"/>
      <c r="BO5" s="11"/>
      <c r="BP5" s="11"/>
      <c r="BQ5" s="11"/>
      <c r="BR5" s="11"/>
      <c r="BS5" s="11"/>
      <c r="BT5" s="11"/>
      <c r="BU5" s="11"/>
      <c r="BV5" s="11"/>
      <c r="BW5" s="11"/>
      <c r="BX5" s="11"/>
      <c r="BY5" s="11"/>
      <c r="BZ5" s="11"/>
      <c r="CA5" s="11"/>
      <c r="CB5" s="11"/>
      <c r="CC5" s="22"/>
      <c r="CD5" s="22"/>
      <c r="CE5" s="22"/>
      <c r="CF5" s="22"/>
      <c r="CG5" s="22"/>
    </row>
    <row r="6" spans="1:85" ht="15" customHeight="1" x14ac:dyDescent="0.3">
      <c r="B6" s="1" t="s">
        <v>0</v>
      </c>
      <c r="C6" s="1"/>
      <c r="D6" s="1"/>
      <c r="E6" s="1"/>
      <c r="F6" s="1"/>
      <c r="G6" s="1"/>
      <c r="H6" s="1"/>
      <c r="I6" s="1"/>
      <c r="J6" s="1"/>
      <c r="AC6" s="2" t="s">
        <v>344</v>
      </c>
      <c r="AD6" s="217">
        <f>'Form 2A.1 - Design'!AC6</f>
        <v>0</v>
      </c>
      <c r="AE6" s="217"/>
      <c r="AF6" s="217"/>
      <c r="AG6" s="217"/>
      <c r="AH6" s="217"/>
      <c r="AI6" s="217"/>
      <c r="AJ6" s="217"/>
      <c r="AK6" s="217"/>
      <c r="AM6" s="87">
        <f>LEN(AD6)</f>
        <v>1</v>
      </c>
      <c r="AV6" s="210" t="s">
        <v>62</v>
      </c>
      <c r="AW6" s="210"/>
      <c r="AX6" s="210"/>
      <c r="AY6" s="210"/>
      <c r="AZ6" s="210"/>
      <c r="BA6" s="210"/>
      <c r="BB6" s="210"/>
      <c r="BC6" s="210"/>
      <c r="BD6" s="210"/>
      <c r="BE6" s="210"/>
      <c r="BF6" s="210"/>
      <c r="BG6" s="210"/>
      <c r="BH6" s="210"/>
      <c r="BI6" s="210"/>
      <c r="BJ6" s="36"/>
      <c r="BK6" s="36"/>
      <c r="BL6" s="36"/>
      <c r="BM6" s="36"/>
      <c r="BN6" s="36"/>
      <c r="BO6" s="36"/>
      <c r="BP6" s="36"/>
      <c r="BQ6" s="36"/>
      <c r="BR6" s="36"/>
      <c r="BS6" s="36"/>
      <c r="BT6" s="36"/>
      <c r="BU6" s="36"/>
      <c r="BV6" s="36"/>
      <c r="BW6" s="36"/>
      <c r="BX6" s="36"/>
      <c r="BY6" s="36"/>
      <c r="BZ6" s="36"/>
      <c r="CA6" s="36"/>
      <c r="CB6" s="36"/>
      <c r="CC6" s="36"/>
    </row>
    <row r="7" spans="1:85" ht="15" customHeight="1" x14ac:dyDescent="0.3">
      <c r="C7" s="2"/>
      <c r="D7" s="2" t="s">
        <v>129</v>
      </c>
      <c r="E7" s="171">
        <f>'Form 2A.1 - Design'!E7</f>
        <v>0</v>
      </c>
      <c r="F7" s="171"/>
      <c r="G7" s="171"/>
      <c r="H7" s="171"/>
      <c r="I7" s="171"/>
      <c r="J7" s="171"/>
      <c r="K7" s="171"/>
      <c r="L7" s="171"/>
      <c r="M7" s="171"/>
      <c r="N7" s="171"/>
      <c r="O7" s="171"/>
      <c r="P7" s="171"/>
      <c r="Q7" s="171"/>
      <c r="R7" s="171"/>
      <c r="S7" s="171"/>
      <c r="T7" s="171"/>
      <c r="U7" s="171"/>
      <c r="V7" s="171"/>
      <c r="W7" s="171"/>
      <c r="X7" s="171"/>
      <c r="Y7" s="171"/>
      <c r="Z7" s="171"/>
      <c r="AE7" s="2" t="s">
        <v>155</v>
      </c>
      <c r="AF7" s="233"/>
      <c r="AG7" s="233"/>
      <c r="AH7" s="233"/>
      <c r="AI7" s="233"/>
      <c r="AJ7" s="233"/>
      <c r="AK7" s="233"/>
      <c r="AV7" s="210"/>
      <c r="AW7" s="210"/>
      <c r="AX7" s="210"/>
      <c r="AY7" s="210"/>
      <c r="AZ7" s="210"/>
      <c r="BA7" s="210"/>
      <c r="BB7" s="210"/>
      <c r="BC7" s="210"/>
      <c r="BD7" s="210"/>
      <c r="BE7" s="210"/>
      <c r="BF7" s="210"/>
      <c r="BG7" s="210"/>
      <c r="BH7" s="210"/>
      <c r="BI7" s="210"/>
      <c r="BJ7" s="36"/>
      <c r="BK7" s="36"/>
      <c r="BL7" s="36"/>
      <c r="BM7" s="36"/>
      <c r="BN7" s="36"/>
      <c r="BO7" s="36"/>
      <c r="BP7" s="36"/>
      <c r="BQ7" s="36"/>
      <c r="BR7" s="36"/>
      <c r="BS7" s="36"/>
      <c r="BT7" s="36"/>
      <c r="BU7" s="36"/>
      <c r="BV7" s="36"/>
      <c r="BW7" s="36"/>
      <c r="BX7" s="36"/>
      <c r="BY7" s="36"/>
      <c r="BZ7" s="36"/>
      <c r="CA7" s="36"/>
      <c r="CB7" s="36"/>
      <c r="CC7" s="36"/>
    </row>
    <row r="8" spans="1:85" ht="15" customHeight="1" x14ac:dyDescent="0.3">
      <c r="C8" s="2"/>
      <c r="D8" s="2" t="s">
        <v>130</v>
      </c>
      <c r="E8" s="237">
        <f>'Form 2A.1 - Design'!$E$8</f>
        <v>0</v>
      </c>
      <c r="F8" s="237"/>
      <c r="G8" s="237"/>
      <c r="H8" s="237"/>
      <c r="I8" s="237"/>
      <c r="J8" s="237"/>
      <c r="K8" s="237"/>
      <c r="L8" s="237"/>
      <c r="M8" s="237"/>
      <c r="N8" s="237"/>
      <c r="O8" s="237"/>
      <c r="P8" s="237"/>
      <c r="Q8" s="237"/>
      <c r="R8" s="237"/>
      <c r="S8" s="237"/>
      <c r="T8" s="237"/>
      <c r="U8" s="237"/>
      <c r="V8" s="237"/>
      <c r="W8" s="237"/>
      <c r="X8" s="237"/>
      <c r="Y8" s="237"/>
      <c r="Z8" s="237"/>
      <c r="AE8" s="2" t="s">
        <v>156</v>
      </c>
      <c r="AF8" s="169">
        <f>'Form 2A.1 - Design'!AE8</f>
        <v>0</v>
      </c>
      <c r="AG8" s="169"/>
      <c r="AH8" s="169"/>
      <c r="AI8" s="169"/>
      <c r="AJ8" s="169"/>
      <c r="AK8" s="169"/>
      <c r="AV8" s="47">
        <v>1</v>
      </c>
      <c r="AW8" s="21" t="s">
        <v>87</v>
      </c>
      <c r="BF8" s="36"/>
      <c r="BG8" s="36"/>
      <c r="BH8" s="36"/>
      <c r="BI8" s="36"/>
      <c r="BJ8" s="36"/>
      <c r="BK8" s="36"/>
      <c r="BL8" s="36"/>
      <c r="BM8" s="36"/>
      <c r="BN8" s="36"/>
      <c r="BO8" s="36"/>
      <c r="BP8" s="36"/>
      <c r="BQ8" s="36"/>
      <c r="BR8" s="36"/>
      <c r="BS8" s="36"/>
      <c r="BT8" s="36"/>
      <c r="BU8" s="36"/>
      <c r="BV8" s="36"/>
      <c r="BW8" s="36"/>
      <c r="BX8" s="36"/>
      <c r="BY8" s="36"/>
      <c r="BZ8" s="36"/>
      <c r="CA8" s="36"/>
      <c r="CB8" s="36"/>
      <c r="CC8" s="36"/>
    </row>
    <row r="9" spans="1:85" ht="10.050000000000001" customHeight="1" x14ac:dyDescent="0.3">
      <c r="F9" s="2"/>
      <c r="G9" s="2"/>
      <c r="H9" s="2"/>
      <c r="I9" s="2"/>
      <c r="J9" s="2"/>
      <c r="BX9" s="36"/>
      <c r="BY9" s="36"/>
      <c r="BZ9" s="36"/>
      <c r="CA9" s="36"/>
      <c r="CB9" s="36"/>
      <c r="CC9" s="36"/>
    </row>
    <row r="10" spans="1:85" ht="15" customHeight="1" x14ac:dyDescent="0.3">
      <c r="B10" s="4" t="s">
        <v>117</v>
      </c>
      <c r="F10" s="2"/>
      <c r="G10" s="156"/>
      <c r="H10" s="4" t="s">
        <v>114</v>
      </c>
      <c r="I10" s="2"/>
      <c r="O10" s="156"/>
      <c r="P10" s="4" t="s">
        <v>115</v>
      </c>
      <c r="AB10" s="156"/>
      <c r="AC10" s="4" t="str">
        <f>Tables!F24</f>
        <v xml:space="preserve"> O&amp;M Plan</v>
      </c>
      <c r="AW10" s="6" t="s">
        <v>89</v>
      </c>
      <c r="AX10" s="21" t="s">
        <v>189</v>
      </c>
      <c r="AZ10" s="21"/>
      <c r="BA10" s="21"/>
      <c r="BB10" s="21"/>
      <c r="BC10" s="21"/>
      <c r="BD10" s="21"/>
      <c r="BE10" s="21"/>
      <c r="BF10"/>
      <c r="BG10"/>
      <c r="BH10"/>
      <c r="BI10"/>
      <c r="BJ10"/>
      <c r="BK10"/>
      <c r="BL10"/>
      <c r="BM10"/>
      <c r="BN10"/>
      <c r="BO10"/>
      <c r="BP10"/>
      <c r="BQ10"/>
      <c r="BR10"/>
      <c r="BS10"/>
      <c r="BT10"/>
      <c r="BU10"/>
      <c r="BV10"/>
      <c r="BW10"/>
      <c r="BX10" s="36"/>
      <c r="BY10" s="36"/>
      <c r="BZ10" s="36"/>
      <c r="CA10" s="36"/>
      <c r="CB10" s="36"/>
      <c r="CC10" s="36"/>
    </row>
    <row r="11" spans="1:85" ht="4.95" customHeight="1" x14ac:dyDescent="0.3">
      <c r="J11" s="2"/>
      <c r="K11" s="2"/>
      <c r="AW11" s="6"/>
      <c r="AX11" s="21"/>
      <c r="BA11" s="21"/>
      <c r="BB11" s="21"/>
      <c r="BC11" s="21"/>
      <c r="BD11" s="21"/>
      <c r="BE11" s="21"/>
      <c r="BF11"/>
      <c r="BG11"/>
      <c r="BH11"/>
      <c r="BI11"/>
      <c r="BJ11"/>
      <c r="BK11"/>
      <c r="BL11"/>
      <c r="BM11"/>
      <c r="BN11"/>
      <c r="BO11"/>
      <c r="BP11"/>
      <c r="BQ11"/>
      <c r="BR11"/>
      <c r="BS11"/>
      <c r="BT11"/>
      <c r="BU11"/>
      <c r="BV11"/>
      <c r="BW11"/>
      <c r="BX11" s="36"/>
      <c r="BY11" s="36"/>
      <c r="BZ11" s="36"/>
      <c r="CA11" s="36"/>
      <c r="CB11" s="36"/>
      <c r="CC11" s="36"/>
    </row>
    <row r="12" spans="1:85" ht="15" customHeight="1" x14ac:dyDescent="0.3">
      <c r="G12" s="156"/>
      <c r="H12" s="4" t="s">
        <v>493</v>
      </c>
      <c r="J12" s="2"/>
      <c r="K12" s="2"/>
      <c r="AB12" s="156"/>
      <c r="AC12" s="4" t="s">
        <v>154</v>
      </c>
      <c r="AW12" s="6" t="s">
        <v>90</v>
      </c>
      <c r="AX12" s="21" t="s">
        <v>88</v>
      </c>
      <c r="BA12" s="21"/>
      <c r="BB12" s="21"/>
      <c r="BC12" s="21"/>
      <c r="BD12" s="21"/>
      <c r="BE12" s="21"/>
      <c r="BF12"/>
      <c r="BG12"/>
      <c r="BH12"/>
      <c r="BI12"/>
      <c r="BJ12"/>
      <c r="BK12"/>
      <c r="BL12"/>
      <c r="BM12"/>
      <c r="BN12"/>
      <c r="BO12"/>
      <c r="BP12"/>
      <c r="BQ12"/>
      <c r="BR12"/>
      <c r="BS12"/>
      <c r="BT12"/>
      <c r="BU12"/>
      <c r="BV12"/>
      <c r="BW12"/>
      <c r="BX12" s="36"/>
      <c r="BY12" s="36"/>
      <c r="BZ12" s="36"/>
      <c r="CA12" s="36"/>
      <c r="CB12" s="36"/>
      <c r="CC12" s="36"/>
    </row>
    <row r="13" spans="1:85" ht="10.050000000000001" customHeight="1" x14ac:dyDescent="0.3">
      <c r="J13" s="2"/>
      <c r="K13" s="2"/>
      <c r="AW13" s="6"/>
      <c r="AX13" s="21"/>
      <c r="BA13" s="21"/>
      <c r="BB13" s="21"/>
      <c r="BC13" s="21"/>
      <c r="BD13" s="21"/>
      <c r="BE13" s="21"/>
      <c r="BF13"/>
      <c r="BG13"/>
      <c r="BH13"/>
      <c r="BI13"/>
      <c r="BJ13"/>
      <c r="BK13"/>
      <c r="BL13"/>
      <c r="BM13"/>
      <c r="BN13"/>
      <c r="BO13"/>
      <c r="BP13"/>
      <c r="BQ13"/>
      <c r="BR13"/>
      <c r="BS13"/>
      <c r="BT13"/>
      <c r="BU13"/>
      <c r="BV13"/>
      <c r="BW13"/>
      <c r="BX13" s="36"/>
      <c r="BY13" s="36"/>
      <c r="BZ13" s="36"/>
      <c r="CA13" s="36"/>
      <c r="CB13" s="36"/>
      <c r="CC13" s="36"/>
    </row>
    <row r="14" spans="1:85" ht="15" customHeight="1" x14ac:dyDescent="0.3">
      <c r="A14" s="224" t="s">
        <v>338</v>
      </c>
      <c r="B14" s="224"/>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73"/>
      <c r="AN14" s="73"/>
      <c r="AV14" s="47">
        <f>AV8+1</f>
        <v>2</v>
      </c>
      <c r="AW14" s="21" t="s">
        <v>91</v>
      </c>
      <c r="AZ14" s="21"/>
      <c r="BA14" s="21"/>
      <c r="BB14" s="21"/>
      <c r="BC14" s="21"/>
      <c r="BD14" s="21"/>
      <c r="BE14" s="21"/>
      <c r="BF14"/>
      <c r="BG14"/>
      <c r="BH14"/>
      <c r="BI14"/>
      <c r="BJ14"/>
      <c r="BK14"/>
      <c r="BL14"/>
      <c r="BM14"/>
      <c r="BN14"/>
      <c r="BO14"/>
      <c r="BP14"/>
      <c r="BQ14"/>
      <c r="BR14"/>
      <c r="BS14"/>
      <c r="BT14"/>
      <c r="BU14"/>
      <c r="BV14"/>
      <c r="BW14"/>
      <c r="BX14" s="36"/>
      <c r="BY14" s="36"/>
      <c r="BZ14" s="36"/>
      <c r="CA14" s="36"/>
      <c r="CB14" s="36"/>
      <c r="CC14" s="36"/>
    </row>
    <row r="15" spans="1:85" ht="15" customHeight="1" x14ac:dyDescent="0.3">
      <c r="B15" s="1" t="s">
        <v>50</v>
      </c>
      <c r="C15" s="1"/>
      <c r="D15" s="1"/>
      <c r="E15" s="1"/>
      <c r="J15" s="1"/>
      <c r="K15" s="1"/>
      <c r="L15" s="1"/>
      <c r="M15" s="1"/>
      <c r="N15" s="1"/>
      <c r="O15" s="1"/>
      <c r="P15" s="1"/>
      <c r="Q15" s="1"/>
      <c r="R15" s="1"/>
      <c r="S15" s="1"/>
      <c r="T15" s="74"/>
      <c r="U15" s="88" t="s">
        <v>51</v>
      </c>
      <c r="W15" s="1"/>
      <c r="X15" s="1"/>
      <c r="AB15" s="1"/>
      <c r="AC15" s="1"/>
      <c r="AD15" s="1"/>
      <c r="AE15" s="1"/>
      <c r="AF15" s="1"/>
      <c r="AG15" s="1"/>
      <c r="AH15" s="1"/>
      <c r="AI15" s="1"/>
      <c r="AJ15" s="1"/>
      <c r="AK15" s="1"/>
      <c r="AL15" s="1"/>
      <c r="AW15" s="6" t="s">
        <v>89</v>
      </c>
      <c r="AX15" s="21" t="s">
        <v>108</v>
      </c>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row>
    <row r="16" spans="1:85" ht="15" customHeight="1" x14ac:dyDescent="0.3">
      <c r="B16" s="2"/>
      <c r="D16" s="2" t="s">
        <v>213</v>
      </c>
      <c r="E16" s="235">
        <f>'Form 2A.1 - Design'!E57</f>
        <v>0</v>
      </c>
      <c r="F16" s="235"/>
      <c r="G16" s="235"/>
      <c r="H16" s="235"/>
      <c r="K16" s="2" t="s">
        <v>29</v>
      </c>
      <c r="L16" s="171">
        <f>'Form 2A.1 - Design'!N57</f>
        <v>0</v>
      </c>
      <c r="M16" s="171"/>
      <c r="N16" s="171"/>
      <c r="O16" s="171"/>
      <c r="T16" s="75"/>
      <c r="X16" s="2" t="s">
        <v>213</v>
      </c>
      <c r="Y16" s="199"/>
      <c r="Z16" s="199"/>
      <c r="AA16" s="199"/>
      <c r="AB16" s="199"/>
      <c r="AG16" s="2" t="s">
        <v>29</v>
      </c>
      <c r="AH16" s="199"/>
      <c r="AI16" s="199"/>
      <c r="AJ16" s="199"/>
      <c r="AK16" s="199"/>
      <c r="AV16" s="4"/>
      <c r="AW16" s="6" t="s">
        <v>90</v>
      </c>
      <c r="AX16" s="21" t="s">
        <v>101</v>
      </c>
      <c r="BF16" s="36"/>
      <c r="BG16" s="36"/>
      <c r="BH16" s="36"/>
      <c r="BI16" s="36"/>
      <c r="BJ16" s="36"/>
      <c r="BK16" s="36"/>
      <c r="BL16" s="36"/>
      <c r="BM16" s="36"/>
      <c r="BN16" s="36"/>
      <c r="BO16" s="36"/>
      <c r="BP16" s="36"/>
      <c r="BQ16" s="36"/>
      <c r="BR16" s="36"/>
      <c r="BS16" s="36"/>
      <c r="BT16" s="36"/>
      <c r="BU16" s="36"/>
      <c r="BV16" s="36"/>
      <c r="BW16" s="36"/>
      <c r="BX16"/>
      <c r="BY16"/>
      <c r="BZ16"/>
      <c r="CA16"/>
      <c r="CB16"/>
      <c r="CC16"/>
      <c r="CD16" s="76"/>
      <c r="CE16" s="76"/>
      <c r="CF16" s="76"/>
    </row>
    <row r="17" spans="2:84" ht="15" customHeight="1" x14ac:dyDescent="0.3">
      <c r="B17" s="2"/>
      <c r="D17" s="2" t="s">
        <v>214</v>
      </c>
      <c r="E17" s="219">
        <f>'Form 2A.1 - Design'!E58</f>
        <v>0</v>
      </c>
      <c r="F17" s="219"/>
      <c r="G17" s="219"/>
      <c r="H17" s="19" t="s">
        <v>39</v>
      </c>
      <c r="T17" s="75"/>
      <c r="X17" s="2" t="s">
        <v>214</v>
      </c>
      <c r="Y17" s="193"/>
      <c r="Z17" s="193"/>
      <c r="AA17" s="193"/>
      <c r="AB17" s="4" t="s">
        <v>39</v>
      </c>
      <c r="AM17" s="87">
        <f>IF(ISBLANK(Y17),1,2)</f>
        <v>1</v>
      </c>
      <c r="AV17" s="4"/>
      <c r="AX17" s="67" t="s">
        <v>107</v>
      </c>
      <c r="AY17" s="21" t="s">
        <v>190</v>
      </c>
      <c r="BX17"/>
      <c r="BY17"/>
      <c r="BZ17"/>
      <c r="CA17"/>
      <c r="CB17"/>
      <c r="CC17"/>
      <c r="CD17" s="76"/>
      <c r="CE17" s="76"/>
      <c r="CF17" s="76"/>
    </row>
    <row r="18" spans="2:84" ht="15" customHeight="1" x14ac:dyDescent="0.3">
      <c r="B18" s="2"/>
      <c r="D18" s="2" t="s">
        <v>215</v>
      </c>
      <c r="E18" s="219">
        <f>'Form 2A.1 - Design'!E59</f>
        <v>0</v>
      </c>
      <c r="F18" s="219"/>
      <c r="G18" s="219"/>
      <c r="H18" s="19" t="s">
        <v>39</v>
      </c>
      <c r="K18" s="2" t="s">
        <v>40</v>
      </c>
      <c r="L18" s="234">
        <f>'Form 2A.1 - Design'!N59</f>
        <v>0</v>
      </c>
      <c r="M18" s="234"/>
      <c r="N18" s="234"/>
      <c r="O18" s="4" t="s">
        <v>39</v>
      </c>
      <c r="S18" s="40"/>
      <c r="T18" s="75"/>
      <c r="X18" s="2" t="s">
        <v>215</v>
      </c>
      <c r="Y18" s="193"/>
      <c r="Z18" s="193"/>
      <c r="AA18" s="193"/>
      <c r="AB18" s="4" t="s">
        <v>39</v>
      </c>
      <c r="AG18" s="2" t="s">
        <v>40</v>
      </c>
      <c r="AH18" s="183"/>
      <c r="AI18" s="183"/>
      <c r="AJ18" s="183"/>
      <c r="AK18" s="4" t="s">
        <v>39</v>
      </c>
      <c r="AM18" s="87">
        <f>IF(AND(ISBLANK(Y18),ISBLANK(AH18)),1,2)</f>
        <v>1</v>
      </c>
      <c r="AX18" s="67" t="s">
        <v>107</v>
      </c>
      <c r="AY18" s="21" t="s">
        <v>125</v>
      </c>
      <c r="AZ18" s="21"/>
      <c r="BA18" s="21"/>
      <c r="BB18" s="21"/>
      <c r="BC18" s="21"/>
      <c r="BD18" s="21"/>
      <c r="BE18" s="21"/>
      <c r="BF18"/>
      <c r="BG18"/>
      <c r="BH18"/>
      <c r="BI18"/>
      <c r="BJ18"/>
      <c r="BK18"/>
      <c r="BL18"/>
      <c r="BM18"/>
      <c r="BN18"/>
      <c r="BO18"/>
      <c r="BP18"/>
      <c r="BQ18"/>
      <c r="BR18"/>
      <c r="BS18"/>
      <c r="BT18"/>
      <c r="BU18"/>
      <c r="BV18"/>
      <c r="BW18"/>
      <c r="BX18"/>
      <c r="BY18"/>
      <c r="BZ18"/>
      <c r="CA18"/>
      <c r="CB18"/>
      <c r="CC18"/>
    </row>
    <row r="19" spans="2:84" ht="15" customHeight="1" x14ac:dyDescent="0.3">
      <c r="B19" s="2"/>
      <c r="D19" s="2" t="s">
        <v>216</v>
      </c>
      <c r="E19" s="219">
        <f>'Form 2A.1 - Design'!E60</f>
        <v>0</v>
      </c>
      <c r="F19" s="219"/>
      <c r="G19" s="219"/>
      <c r="H19" s="19" t="s">
        <v>39</v>
      </c>
      <c r="K19" s="2" t="s">
        <v>41</v>
      </c>
      <c r="L19" s="219">
        <f>'Form 2A.1 - Design'!N60</f>
        <v>0</v>
      </c>
      <c r="M19" s="219"/>
      <c r="N19" s="219"/>
      <c r="O19" s="4" t="s">
        <v>39</v>
      </c>
      <c r="S19" s="40"/>
      <c r="T19" s="75"/>
      <c r="X19" s="2" t="s">
        <v>216</v>
      </c>
      <c r="Y19" s="193"/>
      <c r="Z19" s="193"/>
      <c r="AA19" s="193"/>
      <c r="AB19" s="4" t="s">
        <v>39</v>
      </c>
      <c r="AG19" s="2" t="s">
        <v>41</v>
      </c>
      <c r="AH19" s="193"/>
      <c r="AI19" s="193"/>
      <c r="AJ19" s="193"/>
      <c r="AK19" s="4" t="s">
        <v>39</v>
      </c>
      <c r="AX19" s="67" t="s">
        <v>107</v>
      </c>
      <c r="AY19" s="4" t="s">
        <v>154</v>
      </c>
      <c r="BA19" s="21"/>
      <c r="BB19" s="21"/>
      <c r="BC19" s="21"/>
      <c r="BD19" s="21"/>
      <c r="BE19" s="21"/>
      <c r="BF19"/>
      <c r="BG19"/>
      <c r="BH19"/>
      <c r="BI19"/>
      <c r="BJ19"/>
      <c r="BK19"/>
      <c r="BL19"/>
      <c r="BM19"/>
      <c r="BN19"/>
      <c r="BO19"/>
      <c r="BP19"/>
      <c r="BQ19"/>
      <c r="BR19"/>
      <c r="BS19"/>
      <c r="BT19"/>
      <c r="BU19"/>
      <c r="BV19"/>
      <c r="BW19"/>
      <c r="BX19"/>
      <c r="BY19"/>
      <c r="BZ19"/>
      <c r="CA19"/>
      <c r="CB19"/>
      <c r="CC19"/>
    </row>
    <row r="20" spans="2:84" ht="4.95" customHeight="1" x14ac:dyDescent="0.3">
      <c r="B20" s="2"/>
      <c r="D20" s="2"/>
      <c r="E20" s="39"/>
      <c r="F20" s="39"/>
      <c r="G20" s="39"/>
      <c r="H20" s="39"/>
      <c r="I20" s="19"/>
      <c r="N20" s="2"/>
      <c r="O20" s="40"/>
      <c r="Q20" s="40"/>
      <c r="R20" s="40"/>
      <c r="S20" s="40"/>
      <c r="T20" s="75"/>
      <c r="AE20" s="2"/>
      <c r="AF20" s="14"/>
      <c r="AG20" s="14"/>
      <c r="AH20" s="14"/>
      <c r="AI20" s="14"/>
      <c r="BX20"/>
      <c r="BY20"/>
      <c r="BZ20"/>
      <c r="CA20"/>
      <c r="CB20"/>
      <c r="CC20"/>
    </row>
    <row r="21" spans="2:84" ht="15" customHeight="1" x14ac:dyDescent="0.3">
      <c r="B21" s="2"/>
      <c r="D21" s="2" t="s">
        <v>217</v>
      </c>
      <c r="E21" s="157">
        <f>'Form 2A.1 - Design'!E62</f>
        <v>0</v>
      </c>
      <c r="F21" s="4" t="s">
        <v>118</v>
      </c>
      <c r="I21" s="157">
        <f>'Form 2A.1 - Design'!I62</f>
        <v>0</v>
      </c>
      <c r="J21" s="4" t="s">
        <v>119</v>
      </c>
      <c r="T21" s="75"/>
      <c r="X21" s="2" t="s">
        <v>217</v>
      </c>
      <c r="Y21" s="156"/>
      <c r="Z21" s="4" t="s">
        <v>118</v>
      </c>
      <c r="AC21" s="156"/>
      <c r="AD21" s="4" t="s">
        <v>119</v>
      </c>
      <c r="AM21" s="87">
        <f>IF(AND(ISBLANK(Y21),ISBLANK(AC21)),1,2)</f>
        <v>1</v>
      </c>
      <c r="AX21" s="67" t="s">
        <v>107</v>
      </c>
      <c r="AY21" s="4" t="str">
        <f>Tables!F24</f>
        <v xml:space="preserve"> O&amp;M Plan</v>
      </c>
      <c r="BF21" s="36"/>
      <c r="BG21" s="36"/>
      <c r="BH21" s="36"/>
      <c r="BI21" s="36"/>
      <c r="BJ21" s="36"/>
      <c r="BK21" s="36"/>
      <c r="BL21" s="36"/>
      <c r="BM21" s="36"/>
      <c r="BN21" s="36"/>
      <c r="BO21" s="36"/>
      <c r="BP21" s="36"/>
      <c r="BQ21" s="36"/>
      <c r="BR21" s="36"/>
      <c r="BS21" s="36"/>
      <c r="BT21" s="36"/>
      <c r="BU21" s="36"/>
      <c r="BV21" s="36"/>
      <c r="BW21" s="36"/>
      <c r="BX21"/>
      <c r="BY21"/>
      <c r="BZ21"/>
      <c r="CA21"/>
      <c r="CB21"/>
      <c r="CC21"/>
    </row>
    <row r="22" spans="2:84" ht="4.95" customHeight="1" x14ac:dyDescent="0.3">
      <c r="B22" s="2"/>
      <c r="D22" s="2"/>
      <c r="T22" s="75"/>
      <c r="AE22" s="2"/>
      <c r="AY22" s="21"/>
      <c r="AZ22" s="21"/>
      <c r="BA22" s="21"/>
      <c r="BB22" s="21"/>
      <c r="BC22" s="21"/>
      <c r="BD22" s="21"/>
      <c r="BE22" s="21"/>
      <c r="BF22"/>
      <c r="BG22"/>
      <c r="BH22"/>
      <c r="BI22"/>
      <c r="BJ22"/>
      <c r="BK22"/>
      <c r="BL22"/>
      <c r="BM22"/>
      <c r="BN22"/>
      <c r="BO22"/>
      <c r="BP22"/>
      <c r="BQ22"/>
      <c r="BR22"/>
      <c r="BS22"/>
      <c r="BT22"/>
      <c r="BU22"/>
      <c r="BV22"/>
      <c r="BW22"/>
      <c r="BX22" s="77"/>
      <c r="BY22" s="77"/>
      <c r="BZ22" s="77"/>
      <c r="CA22" s="77"/>
      <c r="CB22" s="77"/>
      <c r="CC22" s="77"/>
    </row>
    <row r="23" spans="2:84" ht="15" customHeight="1" x14ac:dyDescent="0.3">
      <c r="F23" s="6" t="s">
        <v>30</v>
      </c>
      <c r="G23" s="6"/>
      <c r="H23" s="6"/>
      <c r="I23" s="6"/>
      <c r="J23" s="6" t="s">
        <v>483</v>
      </c>
      <c r="L23" s="6"/>
      <c r="M23" s="6"/>
      <c r="N23" s="6" t="s">
        <v>484</v>
      </c>
      <c r="P23" s="6"/>
      <c r="Q23" s="6"/>
      <c r="R23" s="6" t="s">
        <v>37</v>
      </c>
      <c r="T23" s="78"/>
      <c r="W23" s="6" t="s">
        <v>30</v>
      </c>
      <c r="AB23" s="6" t="s">
        <v>483</v>
      </c>
      <c r="AC23" s="6"/>
      <c r="AD23" s="6"/>
      <c r="AF23" s="6" t="s">
        <v>484</v>
      </c>
      <c r="AG23" s="6"/>
      <c r="AH23" s="6"/>
      <c r="AI23" s="6"/>
      <c r="AJ23" s="6" t="s">
        <v>37</v>
      </c>
      <c r="AV23" s="47">
        <f>AV14+1</f>
        <v>3</v>
      </c>
      <c r="AW23" s="21" t="s">
        <v>354</v>
      </c>
      <c r="BA23" s="21"/>
      <c r="BB23" s="21"/>
      <c r="BC23" s="21"/>
      <c r="BD23" s="21"/>
      <c r="BE23" s="21"/>
      <c r="BF23"/>
      <c r="BG23"/>
      <c r="BH23"/>
      <c r="BI23"/>
      <c r="BJ23"/>
      <c r="BK23"/>
      <c r="BL23"/>
      <c r="BM23"/>
      <c r="BN23"/>
      <c r="BO23"/>
      <c r="BP23"/>
      <c r="BQ23"/>
      <c r="BR23"/>
      <c r="BS23"/>
      <c r="BT23"/>
      <c r="BU23"/>
      <c r="BV23"/>
      <c r="BW23"/>
      <c r="BX23"/>
      <c r="BY23"/>
      <c r="BZ23"/>
      <c r="CA23"/>
      <c r="CB23"/>
      <c r="CC23"/>
    </row>
    <row r="24" spans="2:84" ht="15" customHeight="1" x14ac:dyDescent="0.3">
      <c r="B24" s="2"/>
      <c r="D24" s="2" t="s">
        <v>229</v>
      </c>
      <c r="E24" s="171">
        <f>'Form 2A.1 - Design'!E65</f>
        <v>0</v>
      </c>
      <c r="F24" s="171"/>
      <c r="G24" s="171"/>
      <c r="H24" s="19"/>
      <c r="I24" s="234">
        <f>'Form 2A.1 - Design'!I65</f>
        <v>0</v>
      </c>
      <c r="J24" s="234"/>
      <c r="K24" s="234"/>
      <c r="L24" s="4" t="s">
        <v>38</v>
      </c>
      <c r="M24" s="234">
        <f>'Form 2A.1 - Design'!N65</f>
        <v>0</v>
      </c>
      <c r="N24" s="234"/>
      <c r="O24" s="234"/>
      <c r="P24" s="4" t="s">
        <v>38</v>
      </c>
      <c r="Q24" s="234">
        <f>'Form 2A.1 - Design'!S65</f>
        <v>0</v>
      </c>
      <c r="R24" s="234"/>
      <c r="S24" s="234"/>
      <c r="T24" s="75" t="s">
        <v>39</v>
      </c>
      <c r="V24" s="199"/>
      <c r="W24" s="199"/>
      <c r="X24" s="199"/>
      <c r="Y24" s="199"/>
      <c r="AA24" s="183"/>
      <c r="AB24" s="183"/>
      <c r="AC24" s="183"/>
      <c r="AD24" s="4" t="s">
        <v>38</v>
      </c>
      <c r="AE24" s="183"/>
      <c r="AF24" s="183"/>
      <c r="AG24" s="183"/>
      <c r="AH24" s="4" t="s">
        <v>38</v>
      </c>
      <c r="AI24" s="183"/>
      <c r="AJ24" s="183"/>
      <c r="AK24" s="183"/>
      <c r="AL24" s="4" t="s">
        <v>39</v>
      </c>
      <c r="AM24" s="87">
        <f>IF(ISBLANK(V24),1,2)</f>
        <v>1</v>
      </c>
      <c r="AW24" s="6" t="s">
        <v>89</v>
      </c>
      <c r="AX24" s="21" t="s">
        <v>276</v>
      </c>
      <c r="AY24" s="21"/>
      <c r="AZ24" s="21"/>
      <c r="BA24" s="21"/>
      <c r="BB24" s="21"/>
      <c r="BC24" s="21"/>
      <c r="BD24" s="21"/>
      <c r="BE24" s="21"/>
      <c r="BF24"/>
      <c r="BG24"/>
      <c r="BH24"/>
      <c r="BI24"/>
      <c r="BJ24"/>
      <c r="BK24"/>
      <c r="BL24"/>
      <c r="BM24"/>
      <c r="BN24"/>
      <c r="BO24"/>
      <c r="BP24"/>
      <c r="BQ24"/>
      <c r="BR24"/>
      <c r="BS24"/>
      <c r="BT24"/>
      <c r="BU24"/>
      <c r="BV24"/>
      <c r="BW24"/>
      <c r="BX24"/>
      <c r="BY24"/>
      <c r="BZ24"/>
      <c r="CA24"/>
      <c r="CB24"/>
      <c r="CC24"/>
    </row>
    <row r="25" spans="2:84" ht="15" customHeight="1" x14ac:dyDescent="0.3">
      <c r="B25" s="2"/>
      <c r="D25" s="2" t="s">
        <v>230</v>
      </c>
      <c r="E25" s="171">
        <f>'Form 2A.1 - Design'!E67</f>
        <v>0</v>
      </c>
      <c r="F25" s="171"/>
      <c r="G25" s="171"/>
      <c r="H25" s="19"/>
      <c r="I25" s="234">
        <f>'Form 2A.1 - Design'!I67</f>
        <v>0</v>
      </c>
      <c r="J25" s="234"/>
      <c r="K25" s="234"/>
      <c r="L25" s="4" t="str">
        <f>IF(E25="V-notch","deg","in")</f>
        <v>in</v>
      </c>
      <c r="M25" s="234">
        <f>'Form 2A.1 - Design'!N67</f>
        <v>0</v>
      </c>
      <c r="N25" s="234"/>
      <c r="O25" s="234"/>
      <c r="P25" s="4" t="s">
        <v>38</v>
      </c>
      <c r="Q25" s="234">
        <f>'Form 2A.1 - Design'!S67</f>
        <v>0</v>
      </c>
      <c r="R25" s="234"/>
      <c r="S25" s="234"/>
      <c r="T25" s="75" t="s">
        <v>39</v>
      </c>
      <c r="V25" s="196"/>
      <c r="W25" s="196"/>
      <c r="X25" s="196"/>
      <c r="Y25" s="196"/>
      <c r="AA25" s="193"/>
      <c r="AB25" s="193"/>
      <c r="AC25" s="193"/>
      <c r="AD25" s="4" t="str">
        <f>IF(V25="V-notch","deg","in")</f>
        <v>in</v>
      </c>
      <c r="AE25" s="193"/>
      <c r="AF25" s="193"/>
      <c r="AG25" s="193"/>
      <c r="AH25" s="4" t="s">
        <v>38</v>
      </c>
      <c r="AI25" s="193"/>
      <c r="AJ25" s="193"/>
      <c r="AK25" s="193"/>
      <c r="AL25" s="4" t="s">
        <v>39</v>
      </c>
      <c r="AM25" s="87">
        <f>IF(ISBLANK(V25),1,2)</f>
        <v>1</v>
      </c>
      <c r="AX25" s="21" t="s">
        <v>277</v>
      </c>
      <c r="AZ25" s="21"/>
      <c r="BA25" s="21"/>
      <c r="BB25" s="21"/>
      <c r="BC25" s="21"/>
      <c r="BD25" s="21"/>
      <c r="BE25" s="21"/>
      <c r="BF25"/>
      <c r="BG25"/>
      <c r="BH25"/>
      <c r="BI25"/>
      <c r="BJ25"/>
      <c r="BK25"/>
      <c r="BL25"/>
      <c r="BM25"/>
      <c r="BN25"/>
      <c r="BO25"/>
      <c r="BP25"/>
      <c r="BQ25"/>
      <c r="BR25"/>
      <c r="BS25"/>
      <c r="BT25"/>
      <c r="BU25"/>
      <c r="BV25"/>
      <c r="BW25"/>
      <c r="BX25"/>
      <c r="BY25"/>
      <c r="BZ25"/>
      <c r="CA25"/>
      <c r="CB25"/>
      <c r="CC25"/>
    </row>
    <row r="26" spans="2:84" ht="4.95" customHeight="1" x14ac:dyDescent="0.3">
      <c r="B26" s="2"/>
      <c r="D26" s="2"/>
      <c r="F26" s="19"/>
      <c r="G26" s="19"/>
      <c r="H26" s="19"/>
      <c r="I26" s="19"/>
      <c r="K26" s="40"/>
      <c r="L26" s="40"/>
      <c r="M26" s="40"/>
      <c r="O26" s="40"/>
      <c r="P26" s="40"/>
      <c r="Q26" s="40"/>
      <c r="S26" s="40"/>
      <c r="T26" s="71"/>
      <c r="AF26" s="13"/>
      <c r="AG26" s="13"/>
      <c r="AH26" s="13"/>
      <c r="AI26" s="13"/>
      <c r="AK26" s="13"/>
      <c r="AL26" s="13"/>
      <c r="AY26" s="21"/>
      <c r="AZ26" s="21"/>
      <c r="BA26" s="21"/>
      <c r="BB26" s="21"/>
      <c r="BC26" s="21"/>
      <c r="BD26" s="21"/>
      <c r="BE26" s="21"/>
      <c r="BF26"/>
      <c r="BG26"/>
      <c r="BH26"/>
      <c r="BI26"/>
      <c r="BJ26"/>
      <c r="BK26"/>
      <c r="BL26"/>
      <c r="BM26"/>
      <c r="BN26"/>
      <c r="BO26"/>
      <c r="BP26"/>
      <c r="BQ26"/>
      <c r="BR26"/>
      <c r="BS26"/>
      <c r="BT26"/>
      <c r="BU26"/>
      <c r="BV26"/>
      <c r="BW26"/>
      <c r="BX26" s="36"/>
      <c r="BY26" s="36"/>
      <c r="BZ26" s="36"/>
      <c r="CA26" s="36"/>
      <c r="CB26" s="36"/>
      <c r="CC26" s="36"/>
    </row>
    <row r="27" spans="2:84" ht="15" customHeight="1" x14ac:dyDescent="0.3">
      <c r="B27" s="2"/>
      <c r="D27" s="2" t="s">
        <v>275</v>
      </c>
      <c r="E27" s="157">
        <f>'Form 2A.1 - Design'!AF67</f>
        <v>0</v>
      </c>
      <c r="F27" s="4" t="s">
        <v>118</v>
      </c>
      <c r="I27" s="157">
        <f>'Form 2A.1 - Design'!AI67</f>
        <v>0</v>
      </c>
      <c r="J27" s="4" t="s">
        <v>119</v>
      </c>
      <c r="T27" s="75"/>
      <c r="X27" s="2" t="s">
        <v>275</v>
      </c>
      <c r="Y27" s="156"/>
      <c r="Z27" s="4" t="s">
        <v>118</v>
      </c>
      <c r="AB27" s="2"/>
      <c r="AC27" s="156"/>
      <c r="AD27" s="4" t="s">
        <v>119</v>
      </c>
      <c r="AM27" s="87">
        <f>IF(AND(ISBLANK(Y27),ISBLANK(AC27)),1,2)</f>
        <v>1</v>
      </c>
      <c r="AN27" s="87">
        <f>IF(ISBLANK(AC27),1,2)</f>
        <v>1</v>
      </c>
      <c r="AW27" s="6" t="s">
        <v>90</v>
      </c>
      <c r="AX27" s="21" t="s">
        <v>93</v>
      </c>
      <c r="AY27" s="21"/>
      <c r="AZ27" s="21"/>
      <c r="BA27" s="21"/>
      <c r="BB27" s="21"/>
      <c r="BC27" s="21"/>
      <c r="BD27" s="21"/>
      <c r="BE27" s="21"/>
      <c r="BF27"/>
      <c r="BG27"/>
      <c r="BH27"/>
      <c r="BI27"/>
      <c r="BJ27"/>
      <c r="BK27"/>
      <c r="BL27"/>
      <c r="BM27"/>
      <c r="BN27"/>
      <c r="BO27"/>
      <c r="BP27"/>
      <c r="BQ27"/>
      <c r="BR27"/>
      <c r="BS27"/>
      <c r="BT27"/>
      <c r="BU27"/>
      <c r="BV27"/>
      <c r="BW27"/>
      <c r="BX27" s="36"/>
      <c r="BY27" s="36"/>
      <c r="BZ27" s="36"/>
      <c r="CA27" s="36"/>
      <c r="CB27" s="36"/>
      <c r="CC27" s="36"/>
    </row>
    <row r="28" spans="2:84" ht="4.95" customHeight="1" x14ac:dyDescent="0.3">
      <c r="B28" s="2"/>
      <c r="C28" s="2"/>
      <c r="D28" s="2"/>
      <c r="T28" s="75"/>
      <c r="AA28" s="2"/>
      <c r="AB28" s="2"/>
      <c r="AC28" s="2"/>
      <c r="AD28" s="2"/>
      <c r="AW28" s="6"/>
      <c r="AX28" s="21"/>
      <c r="AY28" s="79"/>
      <c r="AZ28" s="79"/>
      <c r="BA28" s="79"/>
      <c r="BB28" s="79"/>
      <c r="BC28" s="79"/>
      <c r="BD28" s="79"/>
      <c r="BE28" s="79"/>
      <c r="BF28" s="77"/>
      <c r="BG28" s="77"/>
      <c r="BH28" s="77"/>
      <c r="BI28" s="77"/>
      <c r="BJ28" s="77"/>
      <c r="BK28" s="77"/>
      <c r="BL28" s="77"/>
      <c r="BM28" s="77"/>
      <c r="BN28" s="77"/>
      <c r="BO28" s="77"/>
      <c r="BP28" s="77"/>
      <c r="BQ28" s="77"/>
      <c r="BR28" s="77"/>
      <c r="BS28" s="77"/>
      <c r="BT28" s="77"/>
      <c r="BU28" s="77"/>
      <c r="BV28" s="77"/>
      <c r="BW28" s="77"/>
      <c r="BX28" s="36"/>
      <c r="BY28" s="36"/>
      <c r="BZ28" s="36"/>
      <c r="CA28" s="36"/>
      <c r="CB28" s="36"/>
      <c r="CC28" s="36"/>
    </row>
    <row r="29" spans="2:84" ht="15" customHeight="1" x14ac:dyDescent="0.3">
      <c r="B29" s="213" t="str">
        <f>'Form 2A.1 - Design'!B71</f>
        <v xml:space="preserve">Select: </v>
      </c>
      <c r="C29" s="213"/>
      <c r="D29" s="213"/>
      <c r="E29" s="171">
        <f>'Form 2A.1 - Design'!E71</f>
        <v>0</v>
      </c>
      <c r="F29" s="171"/>
      <c r="G29" s="171"/>
      <c r="H29" s="19"/>
      <c r="I29" s="234">
        <f>'Form 2A.1 - Design'!I71</f>
        <v>0</v>
      </c>
      <c r="J29" s="234"/>
      <c r="K29" s="234"/>
      <c r="L29" s="4" t="str">
        <f t="shared" ref="L29:L34" si="0">IF(E29="V-notch","deg","in")</f>
        <v>in</v>
      </c>
      <c r="M29" s="234">
        <f>'Form 2A.1 - Design'!N71</f>
        <v>0</v>
      </c>
      <c r="N29" s="234"/>
      <c r="O29" s="234"/>
      <c r="P29" s="4" t="s">
        <v>38</v>
      </c>
      <c r="Q29" s="234">
        <f>'Form 2A.1 - Design'!S71</f>
        <v>0</v>
      </c>
      <c r="R29" s="234"/>
      <c r="S29" s="234"/>
      <c r="T29" s="75" t="s">
        <v>39</v>
      </c>
      <c r="W29" s="199"/>
      <c r="X29" s="199"/>
      <c r="Y29" s="199"/>
      <c r="AA29" s="183"/>
      <c r="AB29" s="183"/>
      <c r="AC29" s="183"/>
      <c r="AD29" s="4" t="str">
        <f>IF(W29="V-notch","deg","in")</f>
        <v>in</v>
      </c>
      <c r="AE29" s="183"/>
      <c r="AF29" s="183"/>
      <c r="AG29" s="183"/>
      <c r="AH29" s="4" t="s">
        <v>38</v>
      </c>
      <c r="AI29" s="183"/>
      <c r="AJ29" s="183"/>
      <c r="AK29" s="183"/>
      <c r="AL29" s="4" t="s">
        <v>39</v>
      </c>
      <c r="AM29" s="87">
        <f t="shared" ref="AM29:AM34" si="1">IF(ISBLANK(W29),1,2)</f>
        <v>1</v>
      </c>
      <c r="AW29" s="6" t="s">
        <v>104</v>
      </c>
      <c r="AX29" s="21" t="s">
        <v>278</v>
      </c>
      <c r="BB29" s="21"/>
      <c r="BC29" s="21"/>
      <c r="BD29" s="21"/>
      <c r="BE29" s="21"/>
      <c r="BF29"/>
      <c r="BG29"/>
      <c r="BH29"/>
      <c r="BI29"/>
      <c r="BJ29"/>
      <c r="BK29"/>
      <c r="BL29"/>
      <c r="BM29"/>
      <c r="BN29"/>
      <c r="BO29"/>
      <c r="BP29"/>
      <c r="BQ29"/>
      <c r="BR29"/>
      <c r="BS29"/>
      <c r="BT29"/>
      <c r="BU29"/>
      <c r="BV29"/>
      <c r="BW29"/>
      <c r="BX29" s="36"/>
      <c r="BY29" s="36"/>
      <c r="BZ29" s="36"/>
      <c r="CA29" s="36"/>
      <c r="CB29" s="36"/>
      <c r="CC29" s="36"/>
    </row>
    <row r="30" spans="2:84" ht="15" customHeight="1" x14ac:dyDescent="0.3">
      <c r="B30" s="213" t="str">
        <f>'Form 2A.1 - Design'!B72</f>
        <v xml:space="preserve">Select: </v>
      </c>
      <c r="C30" s="213"/>
      <c r="D30" s="213"/>
      <c r="E30" s="171">
        <f>'Form 2A.1 - Design'!E72</f>
        <v>0</v>
      </c>
      <c r="F30" s="171"/>
      <c r="G30" s="171"/>
      <c r="H30" s="19"/>
      <c r="I30" s="234">
        <f>'Form 2A.1 - Design'!I72</f>
        <v>0</v>
      </c>
      <c r="J30" s="234"/>
      <c r="K30" s="234"/>
      <c r="L30" s="4" t="str">
        <f t="shared" si="0"/>
        <v>in</v>
      </c>
      <c r="M30" s="234">
        <f>'Form 2A.1 - Design'!N72</f>
        <v>0</v>
      </c>
      <c r="N30" s="234"/>
      <c r="O30" s="234"/>
      <c r="P30" s="4" t="s">
        <v>38</v>
      </c>
      <c r="Q30" s="234">
        <f>'Form 2A.1 - Design'!S72</f>
        <v>0</v>
      </c>
      <c r="R30" s="234"/>
      <c r="S30" s="234"/>
      <c r="T30" s="75" t="s">
        <v>39</v>
      </c>
      <c r="W30" s="199"/>
      <c r="X30" s="199"/>
      <c r="Y30" s="199"/>
      <c r="AA30" s="193"/>
      <c r="AB30" s="193"/>
      <c r="AC30" s="193"/>
      <c r="AD30" s="4" t="str">
        <f t="shared" ref="AD30:AD34" si="2">IF(W30="V-notch","deg","in")</f>
        <v>in</v>
      </c>
      <c r="AE30" s="193"/>
      <c r="AF30" s="193"/>
      <c r="AG30" s="193"/>
      <c r="AH30" s="4" t="s">
        <v>38</v>
      </c>
      <c r="AI30" s="193"/>
      <c r="AJ30" s="193"/>
      <c r="AK30" s="193"/>
      <c r="AL30" s="4" t="s">
        <v>39</v>
      </c>
      <c r="AM30" s="87">
        <f t="shared" si="1"/>
        <v>1</v>
      </c>
      <c r="AX30" s="21" t="s">
        <v>266</v>
      </c>
      <c r="AY30" s="21"/>
      <c r="AZ30" s="21"/>
      <c r="BA30" s="21"/>
      <c r="BB30" s="21"/>
      <c r="BC30" s="21"/>
      <c r="BD30" s="21"/>
      <c r="BE30" s="21"/>
      <c r="BF30"/>
      <c r="BG30"/>
      <c r="BH30"/>
      <c r="BI30"/>
      <c r="BJ30"/>
      <c r="BK30"/>
      <c r="BL30"/>
      <c r="BM30"/>
      <c r="BN30"/>
      <c r="BO30"/>
      <c r="BP30"/>
      <c r="BQ30"/>
      <c r="BR30"/>
      <c r="BS30"/>
      <c r="BT30"/>
      <c r="BU30"/>
      <c r="BV30"/>
      <c r="BW30"/>
      <c r="BX30" s="36"/>
      <c r="BY30" s="36"/>
      <c r="BZ30" s="36"/>
      <c r="CA30" s="36"/>
      <c r="CB30" s="36"/>
      <c r="CC30" s="36"/>
    </row>
    <row r="31" spans="2:84" ht="15" customHeight="1" x14ac:dyDescent="0.3">
      <c r="B31" s="213" t="str">
        <f>'Form 2A.1 - Design'!B73</f>
        <v xml:space="preserve">Select: </v>
      </c>
      <c r="C31" s="213"/>
      <c r="D31" s="213"/>
      <c r="E31" s="171">
        <f>'Form 2A.1 - Design'!E73</f>
        <v>0</v>
      </c>
      <c r="F31" s="171"/>
      <c r="G31" s="171"/>
      <c r="H31" s="19"/>
      <c r="I31" s="234">
        <f>'Form 2A.1 - Design'!I73</f>
        <v>0</v>
      </c>
      <c r="J31" s="234"/>
      <c r="K31" s="234"/>
      <c r="L31" s="4" t="str">
        <f t="shared" si="0"/>
        <v>in</v>
      </c>
      <c r="M31" s="234">
        <f>'Form 2A.1 - Design'!N73</f>
        <v>0</v>
      </c>
      <c r="N31" s="234"/>
      <c r="O31" s="234"/>
      <c r="P31" s="4" t="s">
        <v>38</v>
      </c>
      <c r="Q31" s="234">
        <f>'Form 2A.1 - Design'!S73</f>
        <v>0</v>
      </c>
      <c r="R31" s="234"/>
      <c r="S31" s="234"/>
      <c r="T31" s="75" t="s">
        <v>39</v>
      </c>
      <c r="W31" s="199"/>
      <c r="X31" s="199"/>
      <c r="Y31" s="199"/>
      <c r="AA31" s="193"/>
      <c r="AB31" s="193"/>
      <c r="AC31" s="193"/>
      <c r="AD31" s="4" t="str">
        <f t="shared" si="2"/>
        <v>in</v>
      </c>
      <c r="AE31" s="193"/>
      <c r="AF31" s="193"/>
      <c r="AG31" s="193"/>
      <c r="AH31" s="4" t="s">
        <v>38</v>
      </c>
      <c r="AI31" s="193"/>
      <c r="AJ31" s="193"/>
      <c r="AK31" s="193"/>
      <c r="AL31" s="4" t="s">
        <v>39</v>
      </c>
      <c r="AM31" s="87">
        <f t="shared" si="1"/>
        <v>1</v>
      </c>
      <c r="AV31" s="4"/>
      <c r="AW31" s="6" t="s">
        <v>105</v>
      </c>
      <c r="AX31" s="21" t="s">
        <v>267</v>
      </c>
      <c r="AZ31" s="21"/>
      <c r="BA31" s="21"/>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row>
    <row r="32" spans="2:84" ht="15" customHeight="1" x14ac:dyDescent="0.3">
      <c r="B32" s="213" t="str">
        <f>'Form 2A.1 - Design'!B74</f>
        <v xml:space="preserve">Select: </v>
      </c>
      <c r="C32" s="213"/>
      <c r="D32" s="213"/>
      <c r="E32" s="171">
        <f>'Form 2A.1 - Design'!E74</f>
        <v>0</v>
      </c>
      <c r="F32" s="171"/>
      <c r="G32" s="171"/>
      <c r="H32" s="19"/>
      <c r="I32" s="234">
        <f>'Form 2A.1 - Design'!I74</f>
        <v>0</v>
      </c>
      <c r="J32" s="234"/>
      <c r="K32" s="234"/>
      <c r="L32" s="4" t="str">
        <f t="shared" si="0"/>
        <v>in</v>
      </c>
      <c r="M32" s="234">
        <f>'Form 2A.1 - Design'!N74</f>
        <v>0</v>
      </c>
      <c r="N32" s="234"/>
      <c r="O32" s="234"/>
      <c r="P32" s="4" t="s">
        <v>38</v>
      </c>
      <c r="Q32" s="234">
        <f>'Form 2A.1 - Design'!S74</f>
        <v>0</v>
      </c>
      <c r="R32" s="234"/>
      <c r="S32" s="234"/>
      <c r="T32" s="75" t="s">
        <v>39</v>
      </c>
      <c r="W32" s="199"/>
      <c r="X32" s="199"/>
      <c r="Y32" s="199"/>
      <c r="AA32" s="193"/>
      <c r="AB32" s="193"/>
      <c r="AC32" s="193"/>
      <c r="AD32" s="4" t="str">
        <f t="shared" si="2"/>
        <v>in</v>
      </c>
      <c r="AE32" s="193"/>
      <c r="AF32" s="193"/>
      <c r="AG32" s="193"/>
      <c r="AH32" s="4" t="s">
        <v>38</v>
      </c>
      <c r="AI32" s="193"/>
      <c r="AJ32" s="193"/>
      <c r="AK32" s="193"/>
      <c r="AL32" s="4" t="s">
        <v>39</v>
      </c>
      <c r="AM32" s="87">
        <f t="shared" si="1"/>
        <v>1</v>
      </c>
      <c r="AV32" s="4"/>
      <c r="AX32" s="21" t="s">
        <v>195</v>
      </c>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row>
    <row r="33" spans="1:81" ht="15" customHeight="1" x14ac:dyDescent="0.3">
      <c r="B33" s="213" t="str">
        <f>'Form 2A.1 - Design'!B75</f>
        <v xml:space="preserve">Select: </v>
      </c>
      <c r="C33" s="213"/>
      <c r="D33" s="213"/>
      <c r="E33" s="171">
        <f>'Form 2A.1 - Design'!E75</f>
        <v>0</v>
      </c>
      <c r="F33" s="171"/>
      <c r="G33" s="171"/>
      <c r="H33" s="19"/>
      <c r="I33" s="234">
        <f>'Form 2A.1 - Design'!I75</f>
        <v>0</v>
      </c>
      <c r="J33" s="234"/>
      <c r="K33" s="234"/>
      <c r="L33" s="4" t="str">
        <f t="shared" si="0"/>
        <v>in</v>
      </c>
      <c r="M33" s="234">
        <f>'Form 2A.1 - Design'!N75</f>
        <v>0</v>
      </c>
      <c r="N33" s="234"/>
      <c r="O33" s="234"/>
      <c r="P33" s="4" t="s">
        <v>38</v>
      </c>
      <c r="Q33" s="234">
        <f>'Form 2A.1 - Design'!S75</f>
        <v>0</v>
      </c>
      <c r="R33" s="234"/>
      <c r="S33" s="234"/>
      <c r="T33" s="75" t="s">
        <v>39</v>
      </c>
      <c r="W33" s="199"/>
      <c r="X33" s="199"/>
      <c r="Y33" s="199"/>
      <c r="AA33" s="193"/>
      <c r="AB33" s="193"/>
      <c r="AC33" s="193"/>
      <c r="AD33" s="4" t="str">
        <f t="shared" si="2"/>
        <v>in</v>
      </c>
      <c r="AE33" s="193"/>
      <c r="AF33" s="193"/>
      <c r="AG33" s="193"/>
      <c r="AH33" s="4" t="s">
        <v>38</v>
      </c>
      <c r="AI33" s="193"/>
      <c r="AJ33" s="193"/>
      <c r="AK33" s="193"/>
      <c r="AL33" s="4" t="s">
        <v>39</v>
      </c>
      <c r="AM33" s="87">
        <f t="shared" si="1"/>
        <v>1</v>
      </c>
      <c r="AV33" s="4"/>
      <c r="AW33" s="6" t="s">
        <v>103</v>
      </c>
      <c r="AX33" s="21" t="s">
        <v>94</v>
      </c>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row>
    <row r="34" spans="1:81" ht="15" customHeight="1" x14ac:dyDescent="0.3">
      <c r="B34" s="213" t="str">
        <f>'Form 2A.1 - Design'!B76</f>
        <v xml:space="preserve">Select: </v>
      </c>
      <c r="C34" s="213"/>
      <c r="D34" s="213"/>
      <c r="E34" s="171">
        <f>'Form 2A.1 - Design'!E76</f>
        <v>0</v>
      </c>
      <c r="F34" s="171"/>
      <c r="G34" s="171"/>
      <c r="H34" s="19"/>
      <c r="I34" s="234">
        <f>'Form 2A.1 - Design'!I76</f>
        <v>0</v>
      </c>
      <c r="J34" s="234"/>
      <c r="K34" s="234"/>
      <c r="L34" s="4" t="str">
        <f t="shared" si="0"/>
        <v>in</v>
      </c>
      <c r="M34" s="234">
        <f>'Form 2A.1 - Design'!N76</f>
        <v>0</v>
      </c>
      <c r="N34" s="234"/>
      <c r="O34" s="234"/>
      <c r="P34" s="4" t="s">
        <v>38</v>
      </c>
      <c r="Q34" s="234">
        <f>'Form 2A.1 - Design'!S76</f>
        <v>0</v>
      </c>
      <c r="R34" s="234"/>
      <c r="S34" s="234"/>
      <c r="T34" s="75" t="s">
        <v>39</v>
      </c>
      <c r="W34" s="199"/>
      <c r="X34" s="199"/>
      <c r="Y34" s="199"/>
      <c r="AA34" s="193"/>
      <c r="AB34" s="193"/>
      <c r="AC34" s="193"/>
      <c r="AD34" s="4" t="str">
        <f t="shared" si="2"/>
        <v>in</v>
      </c>
      <c r="AE34" s="193"/>
      <c r="AF34" s="193"/>
      <c r="AG34" s="193"/>
      <c r="AH34" s="4" t="s">
        <v>38</v>
      </c>
      <c r="AI34" s="193"/>
      <c r="AJ34" s="193"/>
      <c r="AK34" s="193"/>
      <c r="AL34" s="4" t="s">
        <v>39</v>
      </c>
      <c r="AM34" s="87">
        <f t="shared" si="1"/>
        <v>1</v>
      </c>
      <c r="AV34" s="4"/>
      <c r="AW34" s="6" t="s">
        <v>106</v>
      </c>
      <c r="AX34" s="4" t="s">
        <v>353</v>
      </c>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row>
    <row r="35" spans="1:81" ht="15" customHeight="1" x14ac:dyDescent="0.3">
      <c r="T35" s="75"/>
      <c r="AV35" s="47">
        <f>AV23+1</f>
        <v>4</v>
      </c>
      <c r="AW35" s="21" t="s">
        <v>86</v>
      </c>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row>
    <row r="36" spans="1:81" ht="15" customHeight="1" x14ac:dyDescent="0.3">
      <c r="B36" s="2"/>
      <c r="C36" s="2"/>
      <c r="D36" s="2"/>
      <c r="E36" s="2"/>
      <c r="K36" s="13"/>
      <c r="L36" s="13"/>
      <c r="M36" s="13"/>
      <c r="N36" s="13"/>
      <c r="P36" s="13"/>
      <c r="Q36" s="13"/>
      <c r="R36" s="13"/>
      <c r="S36" s="13"/>
      <c r="U36" s="13"/>
      <c r="V36" s="13"/>
      <c r="W36" s="13"/>
      <c r="X36" s="13"/>
      <c r="AF36" s="13"/>
      <c r="AG36" s="13"/>
      <c r="AH36" s="13"/>
      <c r="AI36" s="13"/>
      <c r="AK36" s="13"/>
      <c r="AL36" s="13"/>
      <c r="AW36" s="6" t="s">
        <v>89</v>
      </c>
      <c r="AX36" s="4" t="s">
        <v>313</v>
      </c>
      <c r="AY36" s="21"/>
      <c r="BX36" s="36"/>
      <c r="BY36" s="36"/>
      <c r="BZ36" s="36"/>
      <c r="CA36" s="36"/>
      <c r="CB36" s="36"/>
      <c r="CC36" s="36"/>
    </row>
    <row r="37" spans="1:81" ht="15" customHeight="1" x14ac:dyDescent="0.3">
      <c r="A37" s="225" t="s">
        <v>374</v>
      </c>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N37" s="80"/>
      <c r="AW37" s="6"/>
      <c r="AY37" s="21"/>
      <c r="BX37" s="36"/>
      <c r="BY37" s="36"/>
      <c r="BZ37" s="36"/>
      <c r="CA37" s="36"/>
      <c r="CB37" s="36"/>
      <c r="CC37" s="36"/>
    </row>
    <row r="38" spans="1:81" ht="15" customHeight="1" x14ac:dyDescent="0.3">
      <c r="B38" s="1" t="s">
        <v>50</v>
      </c>
      <c r="C38" s="1"/>
      <c r="D38" s="1"/>
      <c r="E38" s="1"/>
      <c r="G38" s="2" t="s">
        <v>376</v>
      </c>
      <c r="H38" s="235">
        <f>'Form 2A.1 - Design'!F80</f>
        <v>0</v>
      </c>
      <c r="I38" s="235"/>
      <c r="J38" s="235"/>
      <c r="K38" s="235"/>
      <c r="L38" s="235"/>
      <c r="M38" s="235"/>
      <c r="N38" s="235"/>
      <c r="O38" s="235"/>
      <c r="P38" s="235"/>
      <c r="Q38" s="16"/>
      <c r="R38" s="16"/>
      <c r="S38" s="16"/>
      <c r="T38" s="75"/>
      <c r="U38" s="1" t="s">
        <v>51</v>
      </c>
      <c r="W38" s="1"/>
      <c r="X38" s="1"/>
      <c r="Z38" s="2" t="s">
        <v>376</v>
      </c>
      <c r="AA38" s="199"/>
      <c r="AB38" s="199"/>
      <c r="AC38" s="199"/>
      <c r="AD38" s="199"/>
      <c r="AE38" s="199"/>
      <c r="AF38" s="199"/>
      <c r="AG38" s="199"/>
      <c r="AH38" s="199"/>
      <c r="AI38" s="199"/>
      <c r="AJ38" s="16"/>
      <c r="AK38" s="16"/>
      <c r="AL38" s="16"/>
      <c r="AM38" s="87">
        <f>IF(ISBLANK(AA38),1,0)</f>
        <v>1</v>
      </c>
      <c r="AN38" s="80"/>
      <c r="AW38" s="6"/>
      <c r="AY38" s="21"/>
      <c r="BX38" s="36"/>
      <c r="BY38" s="36"/>
      <c r="BZ38" s="36"/>
      <c r="CA38" s="36"/>
      <c r="CB38" s="36"/>
      <c r="CC38" s="36"/>
    </row>
    <row r="39" spans="1:81" ht="15" customHeight="1" x14ac:dyDescent="0.3">
      <c r="B39" s="1"/>
      <c r="C39" s="1"/>
      <c r="D39" s="2" t="s">
        <v>219</v>
      </c>
      <c r="E39" s="218">
        <f>'Form 2A.1 - Design'!F82</f>
        <v>0</v>
      </c>
      <c r="F39" s="218"/>
      <c r="G39" s="218"/>
      <c r="H39" s="4" t="s">
        <v>39</v>
      </c>
      <c r="L39" s="2" t="s">
        <v>215</v>
      </c>
      <c r="M39" s="229">
        <f>'Form 2A.1 - Design'!M82</f>
        <v>0</v>
      </c>
      <c r="N39" s="229"/>
      <c r="O39" s="229"/>
      <c r="P39" s="4" t="s">
        <v>39</v>
      </c>
      <c r="T39" s="81"/>
      <c r="U39" s="2"/>
      <c r="W39" s="2" t="s">
        <v>219</v>
      </c>
      <c r="X39" s="173"/>
      <c r="Y39" s="173"/>
      <c r="Z39" s="173"/>
      <c r="AA39" s="4" t="s">
        <v>39</v>
      </c>
      <c r="AE39" s="2" t="s">
        <v>215</v>
      </c>
      <c r="AF39" s="170"/>
      <c r="AG39" s="170"/>
      <c r="AH39" s="170"/>
      <c r="AI39" s="4" t="s">
        <v>39</v>
      </c>
      <c r="AM39" s="87">
        <f>IF(ISBLANK(X39),1,0)</f>
        <v>1</v>
      </c>
      <c r="AN39" s="87">
        <f>IF(ISBLANK(AF39),1,0)</f>
        <v>1</v>
      </c>
      <c r="AW39" s="6"/>
      <c r="AY39" s="21"/>
      <c r="BX39" s="36"/>
      <c r="BY39" s="36"/>
      <c r="BZ39" s="36"/>
      <c r="CA39" s="36"/>
      <c r="CB39" s="36"/>
      <c r="CC39" s="36"/>
    </row>
    <row r="40" spans="1:81" ht="4.95" customHeight="1" x14ac:dyDescent="0.3">
      <c r="B40" s="1"/>
      <c r="C40" s="1"/>
      <c r="D40" s="1"/>
      <c r="E40" s="1"/>
      <c r="F40" s="1"/>
      <c r="G40" s="1"/>
      <c r="H40" s="1"/>
      <c r="K40" s="2"/>
      <c r="L40" s="14"/>
      <c r="M40" s="14"/>
      <c r="T40" s="81"/>
      <c r="U40" s="2"/>
      <c r="W40" s="2"/>
      <c r="X40" s="14"/>
      <c r="Y40" s="14"/>
      <c r="AD40" s="2"/>
      <c r="AE40" s="14"/>
      <c r="AF40" s="14"/>
      <c r="AN40" s="80"/>
      <c r="AW40" s="6"/>
      <c r="AY40" s="21"/>
      <c r="BX40" s="36"/>
      <c r="BY40" s="36"/>
      <c r="BZ40" s="36"/>
      <c r="CA40" s="36"/>
      <c r="CB40" s="36"/>
      <c r="CC40" s="36"/>
    </row>
    <row r="41" spans="1:81" ht="15" customHeight="1" x14ac:dyDescent="0.3">
      <c r="B41" s="1"/>
      <c r="C41" s="1"/>
      <c r="D41" s="2" t="s">
        <v>375</v>
      </c>
      <c r="E41" s="220">
        <f>'Form 2A.1 - Design'!U82</f>
        <v>0</v>
      </c>
      <c r="F41" s="220"/>
      <c r="G41" s="4" t="s">
        <v>39</v>
      </c>
      <c r="L41" s="2" t="s">
        <v>382</v>
      </c>
      <c r="M41" s="157">
        <f>'Form 2A.1 - Design'!AF82</f>
        <v>0</v>
      </c>
      <c r="N41" s="4" t="s">
        <v>118</v>
      </c>
      <c r="P41" s="157">
        <f>'Form 2A.1 - Design'!AI82</f>
        <v>0</v>
      </c>
      <c r="Q41" s="16" t="s">
        <v>138</v>
      </c>
      <c r="T41" s="81"/>
      <c r="W41" s="2" t="s">
        <v>375</v>
      </c>
      <c r="X41" s="183"/>
      <c r="Y41" s="183"/>
      <c r="Z41" s="4" t="s">
        <v>39</v>
      </c>
      <c r="AE41" s="2" t="s">
        <v>382</v>
      </c>
      <c r="AF41" s="156"/>
      <c r="AG41" s="4" t="s">
        <v>118</v>
      </c>
      <c r="AI41" s="156"/>
      <c r="AJ41" s="16" t="s">
        <v>138</v>
      </c>
      <c r="AM41" s="87">
        <f>IF(ISBLANK(X41),1,0)</f>
        <v>1</v>
      </c>
      <c r="AN41" s="87">
        <f>IF(AND(ISBLANK(AF41),ISBLANK(AI41)),1,0)</f>
        <v>1</v>
      </c>
      <c r="AO41" s="87">
        <f>IF(ISBLANK(AI41),1,2)</f>
        <v>1</v>
      </c>
      <c r="AW41" s="6"/>
      <c r="AY41" s="21"/>
      <c r="BX41" s="36"/>
      <c r="BY41" s="36"/>
      <c r="BZ41" s="36"/>
      <c r="CA41" s="36"/>
      <c r="CB41" s="36"/>
      <c r="CC41" s="36"/>
    </row>
    <row r="42" spans="1:81" ht="15" customHeight="1" x14ac:dyDescent="0.3">
      <c r="B42" s="2"/>
      <c r="C42" s="2"/>
      <c r="D42" s="2"/>
      <c r="E42" s="2"/>
      <c r="K42" s="13"/>
      <c r="L42" s="13"/>
      <c r="M42" s="13"/>
      <c r="N42" s="13"/>
      <c r="P42" s="13"/>
      <c r="Q42" s="13"/>
      <c r="R42" s="13"/>
      <c r="S42" s="13"/>
      <c r="U42" s="13"/>
      <c r="V42" s="13"/>
      <c r="W42" s="13"/>
      <c r="X42" s="13"/>
      <c r="AF42" s="13"/>
      <c r="AG42" s="13"/>
      <c r="AH42" s="13"/>
      <c r="AI42" s="13"/>
      <c r="AK42" s="13"/>
      <c r="AL42" s="13"/>
      <c r="AW42" s="6"/>
      <c r="AY42" s="21"/>
      <c r="BX42" s="36"/>
      <c r="BY42" s="36"/>
      <c r="BZ42" s="36"/>
      <c r="CA42" s="36"/>
      <c r="CB42" s="36"/>
      <c r="CC42" s="36"/>
    </row>
    <row r="43" spans="1:81" ht="15" customHeight="1" x14ac:dyDescent="0.3">
      <c r="A43" s="224" t="s">
        <v>337</v>
      </c>
      <c r="B43" s="224"/>
      <c r="C43" s="224"/>
      <c r="D43" s="224"/>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73"/>
      <c r="AN43" s="73"/>
      <c r="AW43" s="6" t="s">
        <v>90</v>
      </c>
      <c r="AX43" s="21" t="s">
        <v>95</v>
      </c>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row>
    <row r="44" spans="1:81" ht="15" customHeight="1" x14ac:dyDescent="0.3">
      <c r="B44" s="1" t="s">
        <v>50</v>
      </c>
      <c r="C44" s="1"/>
      <c r="D44" s="1"/>
      <c r="E44" s="1"/>
      <c r="J44" s="1"/>
      <c r="K44" s="1"/>
      <c r="L44" s="1"/>
      <c r="M44" s="1"/>
      <c r="N44" s="1"/>
      <c r="O44" s="1"/>
      <c r="P44" s="1"/>
      <c r="Q44" s="1"/>
      <c r="R44" s="1"/>
      <c r="S44" s="1"/>
      <c r="T44" s="75"/>
      <c r="U44" s="1" t="s">
        <v>51</v>
      </c>
      <c r="W44" s="1"/>
      <c r="X44" s="1"/>
      <c r="AB44" s="1"/>
      <c r="AC44" s="1"/>
      <c r="AD44" s="1"/>
      <c r="AE44" s="1"/>
      <c r="AF44" s="1"/>
      <c r="AG44" s="1"/>
      <c r="AH44" s="1"/>
      <c r="AI44" s="1"/>
      <c r="AJ44" s="1"/>
      <c r="AK44" s="1"/>
      <c r="AL44" s="1"/>
      <c r="AM44" s="87">
        <f>SUM(AM45:AM47,AO45:AO47)</f>
        <v>0</v>
      </c>
      <c r="AN44" s="80" t="s">
        <v>74</v>
      </c>
      <c r="AW44" s="6" t="s">
        <v>104</v>
      </c>
      <c r="AX44" s="21" t="s">
        <v>268</v>
      </c>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row>
    <row r="45" spans="1:81" ht="15" customHeight="1" x14ac:dyDescent="0.3">
      <c r="C45" s="2"/>
      <c r="D45" s="2" t="s">
        <v>26</v>
      </c>
      <c r="E45" s="171">
        <f>'Form 2A.1 - Design'!F85</f>
        <v>0</v>
      </c>
      <c r="F45" s="171"/>
      <c r="G45" s="171"/>
      <c r="H45" s="171"/>
      <c r="N45" s="2" t="s">
        <v>29</v>
      </c>
      <c r="O45" s="171">
        <f>'Form 2A.1 - Design'!O85</f>
        <v>0</v>
      </c>
      <c r="P45" s="171"/>
      <c r="Q45" s="171"/>
      <c r="R45" s="171"/>
      <c r="T45" s="75"/>
      <c r="X45" s="2" t="s">
        <v>26</v>
      </c>
      <c r="Y45" s="199"/>
      <c r="Z45" s="199"/>
      <c r="AA45" s="199"/>
      <c r="AB45" s="199"/>
      <c r="AG45" s="2" t="s">
        <v>29</v>
      </c>
      <c r="AH45" s="199"/>
      <c r="AI45" s="199"/>
      <c r="AJ45" s="199"/>
      <c r="AK45" s="199"/>
      <c r="AM45" s="87">
        <f>IF(ISBLANK(Y45),0,1)</f>
        <v>0</v>
      </c>
      <c r="AN45" s="80" t="s">
        <v>20</v>
      </c>
      <c r="AO45" s="87">
        <f>IF(ISBLANK(AH45),0,1)</f>
        <v>0</v>
      </c>
      <c r="AP45" s="80" t="s">
        <v>30</v>
      </c>
      <c r="AQ45" s="80"/>
      <c r="AR45" s="80"/>
      <c r="AV45" s="4"/>
      <c r="AW45" s="6" t="s">
        <v>105</v>
      </c>
      <c r="AX45" s="21" t="s">
        <v>96</v>
      </c>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row>
    <row r="46" spans="1:81" ht="15" customHeight="1" x14ac:dyDescent="0.3">
      <c r="C46" s="2"/>
      <c r="D46" s="2" t="s">
        <v>36</v>
      </c>
      <c r="E46" s="219">
        <f>'Form 2A.1 - Design'!F86</f>
        <v>0</v>
      </c>
      <c r="F46" s="219"/>
      <c r="G46" s="219"/>
      <c r="H46" s="4" t="s">
        <v>39</v>
      </c>
      <c r="I46" s="40"/>
      <c r="N46" s="2" t="s">
        <v>40</v>
      </c>
      <c r="O46" s="219">
        <f>'Form 2A.1 - Design'!O86</f>
        <v>0</v>
      </c>
      <c r="P46" s="219"/>
      <c r="Q46" s="219"/>
      <c r="R46" s="4" t="s">
        <v>39</v>
      </c>
      <c r="T46" s="75"/>
      <c r="U46" s="2"/>
      <c r="X46" s="2" t="s">
        <v>36</v>
      </c>
      <c r="Y46" s="193"/>
      <c r="Z46" s="193"/>
      <c r="AA46" s="193"/>
      <c r="AB46" s="4" t="s">
        <v>39</v>
      </c>
      <c r="AG46" s="2" t="s">
        <v>40</v>
      </c>
      <c r="AH46" s="193"/>
      <c r="AI46" s="193"/>
      <c r="AJ46" s="193"/>
      <c r="AK46" s="4" t="s">
        <v>39</v>
      </c>
      <c r="AM46" s="87">
        <f>IF(ISBLANK(Y46),0,1)</f>
        <v>0</v>
      </c>
      <c r="AN46" s="80" t="s">
        <v>46</v>
      </c>
      <c r="AO46" s="87">
        <f>IF(ISBLANK(AH46),0,1)</f>
        <v>0</v>
      </c>
      <c r="AP46" s="80" t="s">
        <v>71</v>
      </c>
      <c r="AQ46" s="80"/>
      <c r="AR46" s="80"/>
      <c r="AW46" s="6" t="s">
        <v>103</v>
      </c>
      <c r="AX46" s="21" t="s">
        <v>97</v>
      </c>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row>
    <row r="47" spans="1:81" ht="15" customHeight="1" x14ac:dyDescent="0.3">
      <c r="C47" s="2"/>
      <c r="D47" s="2" t="s">
        <v>234</v>
      </c>
      <c r="E47" s="219">
        <f>'Form 2A.1 - Design'!W86</f>
        <v>0</v>
      </c>
      <c r="F47" s="219"/>
      <c r="G47" s="219"/>
      <c r="H47" s="4" t="s">
        <v>39</v>
      </c>
      <c r="I47" s="40"/>
      <c r="N47" s="2" t="s">
        <v>233</v>
      </c>
      <c r="O47" s="219">
        <f>'Form 2A.1 - Design'!AF86</f>
        <v>0</v>
      </c>
      <c r="P47" s="219"/>
      <c r="Q47" s="219"/>
      <c r="R47" s="4" t="s">
        <v>39</v>
      </c>
      <c r="T47" s="81"/>
      <c r="U47" s="2"/>
      <c r="X47" s="2" t="s">
        <v>234</v>
      </c>
      <c r="Y47" s="193"/>
      <c r="Z47" s="193"/>
      <c r="AA47" s="193"/>
      <c r="AB47" s="4" t="s">
        <v>39</v>
      </c>
      <c r="AG47" s="2" t="s">
        <v>233</v>
      </c>
      <c r="AH47" s="193"/>
      <c r="AI47" s="193"/>
      <c r="AJ47" s="193"/>
      <c r="AK47" s="4" t="s">
        <v>39</v>
      </c>
      <c r="AM47" s="87">
        <f>IF(ISBLANK(Y47),0,1)</f>
        <v>0</v>
      </c>
      <c r="AN47" s="80" t="s">
        <v>72</v>
      </c>
      <c r="AO47" s="87">
        <f>IF(ISBLANK(AH47),0,1)</f>
        <v>0</v>
      </c>
      <c r="AP47" s="80" t="s">
        <v>73</v>
      </c>
      <c r="AQ47" s="80"/>
      <c r="AR47" s="80"/>
      <c r="AW47" s="6" t="s">
        <v>106</v>
      </c>
      <c r="AX47" s="21" t="s">
        <v>98</v>
      </c>
      <c r="BF47" s="36"/>
      <c r="BG47" s="36"/>
      <c r="BH47" s="36"/>
      <c r="BI47" s="36"/>
      <c r="BJ47" s="36"/>
      <c r="BK47" s="36"/>
      <c r="BL47" s="36"/>
      <c r="BM47" s="36"/>
      <c r="BN47" s="36"/>
      <c r="BO47" s="36"/>
      <c r="BP47" s="36"/>
      <c r="BQ47" s="36"/>
      <c r="BR47" s="36"/>
      <c r="BS47" s="36"/>
      <c r="BT47" s="36"/>
      <c r="BU47" s="36"/>
      <c r="BV47" s="36"/>
      <c r="BW47" s="36"/>
    </row>
    <row r="48" spans="1:81" ht="15" customHeight="1" x14ac:dyDescent="0.3">
      <c r="B48" s="2"/>
      <c r="C48" s="2"/>
      <c r="D48" s="2"/>
      <c r="E48" s="2"/>
      <c r="F48" s="13"/>
      <c r="G48" s="13"/>
      <c r="H48" s="13"/>
      <c r="I48" s="13"/>
      <c r="O48" s="2"/>
      <c r="P48" s="13"/>
      <c r="Q48" s="13"/>
      <c r="R48" s="13"/>
      <c r="S48" s="13"/>
      <c r="Y48" s="2"/>
      <c r="Z48" s="2"/>
      <c r="AA48" s="13"/>
      <c r="AB48" s="13"/>
      <c r="AC48" s="13"/>
      <c r="AD48" s="13"/>
      <c r="AJ48" s="2"/>
      <c r="AK48" s="13"/>
      <c r="AL48" s="13"/>
      <c r="AM48" s="72"/>
      <c r="AN48" s="72"/>
      <c r="AW48" s="6" t="s">
        <v>260</v>
      </c>
      <c r="AX48" s="21" t="s">
        <v>99</v>
      </c>
      <c r="BF48" s="36"/>
      <c r="BG48" s="36"/>
      <c r="BH48" s="36"/>
      <c r="BI48" s="36"/>
      <c r="BJ48" s="36"/>
      <c r="BK48" s="36"/>
      <c r="BL48" s="36"/>
      <c r="BM48" s="36"/>
      <c r="BN48" s="36"/>
      <c r="BO48" s="36"/>
      <c r="BP48" s="36"/>
      <c r="BQ48" s="36"/>
      <c r="BR48" s="36"/>
      <c r="BS48" s="36"/>
      <c r="BT48" s="36"/>
      <c r="BU48" s="36"/>
      <c r="BV48" s="36"/>
      <c r="BW48" s="36"/>
    </row>
    <row r="49" spans="1:75" s="9" customFormat="1" ht="15" customHeight="1" x14ac:dyDescent="0.3">
      <c r="A49" s="225" t="s">
        <v>14</v>
      </c>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72"/>
      <c r="AN49" s="72"/>
      <c r="AO49" s="72"/>
      <c r="AP49" s="72"/>
      <c r="AQ49" s="72"/>
      <c r="AR49" s="72"/>
      <c r="AS49" s="72"/>
      <c r="AT49" s="72"/>
      <c r="AV49" s="47">
        <f>AV35+1</f>
        <v>5</v>
      </c>
      <c r="AW49" s="21" t="str">
        <f>"Form 3A – Detention Pond As-built Certification Form shall be approved by the "&amp;Tables!F23&amp;" prior to:"</f>
        <v>Form 3A – Detention Pond As-built Certification Form shall be approved by the County prior to:</v>
      </c>
      <c r="AX49" s="4"/>
      <c r="AY49" s="4"/>
      <c r="AZ49" s="4"/>
      <c r="BA49" s="4"/>
      <c r="BB49" s="4"/>
      <c r="BC49" s="4"/>
      <c r="BD49" s="4"/>
      <c r="BE49" s="4"/>
      <c r="BF49" s="36"/>
      <c r="BG49" s="36"/>
      <c r="BH49" s="36"/>
      <c r="BI49" s="36"/>
      <c r="BJ49" s="36"/>
      <c r="BK49" s="36"/>
      <c r="BL49" s="36"/>
      <c r="BM49" s="36"/>
      <c r="BN49" s="36"/>
      <c r="BO49" s="36"/>
      <c r="BP49" s="36"/>
      <c r="BQ49" s="36"/>
      <c r="BR49" s="36"/>
      <c r="BS49" s="36"/>
      <c r="BT49" s="36"/>
      <c r="BU49" s="36"/>
      <c r="BV49" s="36"/>
      <c r="BW49" s="36"/>
    </row>
    <row r="50" spans="1:75" ht="15" customHeight="1" x14ac:dyDescent="0.3">
      <c r="B50" s="1" t="s">
        <v>50</v>
      </c>
      <c r="D50" s="1"/>
      <c r="E50" s="1"/>
      <c r="F50" s="1"/>
      <c r="G50" s="1"/>
      <c r="I50" s="10" t="s">
        <v>42</v>
      </c>
      <c r="J50" s="239">
        <f>'Form 2A.1 - Design'!O88</f>
        <v>0</v>
      </c>
      <c r="K50" s="239"/>
      <c r="L50" s="239"/>
      <c r="M50" s="239"/>
      <c r="Q50" s="70"/>
      <c r="R50" s="70"/>
      <c r="S50" s="70"/>
      <c r="T50" s="75"/>
      <c r="U50" s="1" t="s">
        <v>51</v>
      </c>
      <c r="W50" s="1"/>
      <c r="X50" s="1"/>
      <c r="AB50" s="1"/>
      <c r="AC50" s="10" t="s">
        <v>42</v>
      </c>
      <c r="AD50" s="206"/>
      <c r="AE50" s="206"/>
      <c r="AF50" s="206"/>
      <c r="AG50" s="206"/>
      <c r="AH50" s="10"/>
      <c r="AI50" s="10"/>
      <c r="AM50" s="87">
        <f>IF(ISBLANK(AD50),0,1)</f>
        <v>0</v>
      </c>
      <c r="AN50" s="80" t="s">
        <v>139</v>
      </c>
      <c r="AO50" s="87">
        <f>SUM(AM50:AM51)</f>
        <v>0</v>
      </c>
      <c r="AP50" s="80" t="s">
        <v>141</v>
      </c>
      <c r="AQ50" s="44" t="s">
        <v>341</v>
      </c>
      <c r="AR50" s="87">
        <f>IF(ISBLANK(AD50),1,IF(ISTEXT(AD50)=TRUE,3,2))</f>
        <v>1</v>
      </c>
      <c r="AW50" s="6" t="s">
        <v>89</v>
      </c>
      <c r="AX50" s="21" t="s">
        <v>102</v>
      </c>
      <c r="BF50" s="36"/>
      <c r="BG50" s="36"/>
      <c r="BH50" s="36"/>
      <c r="BI50" s="36"/>
      <c r="BJ50" s="36"/>
      <c r="BK50" s="36"/>
      <c r="BL50" s="36"/>
      <c r="BM50" s="36"/>
      <c r="BN50" s="36"/>
      <c r="BO50" s="36"/>
      <c r="BP50" s="36"/>
      <c r="BQ50" s="36"/>
      <c r="BR50" s="36"/>
      <c r="BS50" s="36"/>
      <c r="BT50" s="36"/>
      <c r="BU50" s="36"/>
      <c r="BV50" s="36"/>
      <c r="BW50" s="36"/>
    </row>
    <row r="51" spans="1:75" ht="15" customHeight="1" x14ac:dyDescent="0.3">
      <c r="B51" s="1"/>
      <c r="I51" s="2" t="s">
        <v>43</v>
      </c>
      <c r="J51" s="240"/>
      <c r="K51" s="240"/>
      <c r="L51" s="240"/>
      <c r="M51" s="240"/>
      <c r="Q51" s="70"/>
      <c r="R51" s="70"/>
      <c r="S51" s="70"/>
      <c r="T51" s="81"/>
      <c r="U51" s="2"/>
      <c r="AC51" s="2" t="s">
        <v>43</v>
      </c>
      <c r="AD51" s="221"/>
      <c r="AE51" s="221"/>
      <c r="AF51" s="221"/>
      <c r="AG51" s="221"/>
      <c r="AH51" s="2"/>
      <c r="AI51" s="2"/>
      <c r="AM51" s="87">
        <f>IF(ISBLANK(AD51),0,1)</f>
        <v>0</v>
      </c>
      <c r="AN51" s="80" t="s">
        <v>140</v>
      </c>
      <c r="AQ51" s="44" t="s">
        <v>342</v>
      </c>
      <c r="AR51" s="87">
        <f>IF(ISBLANK(AD51),1,IF(ISTEXT(AD51)=TRUE,3,2))</f>
        <v>1</v>
      </c>
      <c r="AW51" s="6" t="s">
        <v>90</v>
      </c>
      <c r="AX51" s="21" t="s">
        <v>100</v>
      </c>
      <c r="BF51" s="36"/>
      <c r="BG51" s="36"/>
      <c r="BH51" s="36"/>
      <c r="BI51" s="36"/>
      <c r="BJ51" s="36"/>
      <c r="BK51" s="36"/>
      <c r="BL51" s="36"/>
      <c r="BM51" s="36"/>
      <c r="BN51" s="36"/>
      <c r="BO51" s="36"/>
      <c r="BP51" s="36"/>
      <c r="BQ51" s="36"/>
      <c r="BR51" s="36"/>
      <c r="BS51" s="36"/>
      <c r="BT51" s="36"/>
      <c r="BU51" s="36"/>
      <c r="BV51" s="36"/>
      <c r="BW51" s="36"/>
    </row>
    <row r="52" spans="1:75" ht="15" customHeight="1" x14ac:dyDescent="0.3">
      <c r="B52" s="1"/>
      <c r="C52" s="1"/>
      <c r="D52" s="1"/>
      <c r="E52" s="1"/>
      <c r="K52" s="2"/>
      <c r="L52" s="2"/>
      <c r="M52" s="2"/>
      <c r="N52" s="2"/>
      <c r="O52" s="16"/>
      <c r="P52" s="16"/>
      <c r="Q52" s="16"/>
      <c r="R52" s="16"/>
      <c r="S52" s="16"/>
      <c r="T52" s="16"/>
      <c r="Y52" s="2"/>
      <c r="Z52" s="2"/>
      <c r="AF52" s="2"/>
      <c r="AG52" s="2"/>
      <c r="AH52" s="2"/>
      <c r="AI52" s="2"/>
      <c r="AJ52" s="16"/>
      <c r="AK52" s="16"/>
      <c r="AL52" s="16"/>
      <c r="AN52" s="80"/>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row>
    <row r="53" spans="1:75" ht="15" customHeight="1" x14ac:dyDescent="0.3">
      <c r="AV53" s="85"/>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row>
    <row r="54" spans="1:75" ht="15" customHeight="1" x14ac:dyDescent="0.3">
      <c r="B54" s="216">
        <f>Tables!$F$13</f>
        <v>46266</v>
      </c>
      <c r="C54" s="216"/>
      <c r="D54" s="216"/>
      <c r="E54" s="216"/>
      <c r="F54" s="216"/>
      <c r="G54" s="216"/>
      <c r="H54" s="216"/>
      <c r="I54" s="68"/>
      <c r="R54" s="187" t="s">
        <v>251</v>
      </c>
      <c r="S54" s="187"/>
      <c r="T54" s="187"/>
      <c r="U54" s="187"/>
      <c r="AV54" s="85"/>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row>
    <row r="55" spans="1:75" ht="15" customHeight="1" x14ac:dyDescent="0.3">
      <c r="C55" s="2" t="s">
        <v>1</v>
      </c>
      <c r="D55" s="171">
        <f>IF(ISBLANK($E$7),"",$E$7)</f>
        <v>0</v>
      </c>
      <c r="E55" s="171"/>
      <c r="F55" s="171"/>
      <c r="G55" s="171"/>
      <c r="H55" s="171"/>
      <c r="I55" s="171"/>
      <c r="J55" s="171"/>
      <c r="K55" s="171"/>
      <c r="L55" s="171"/>
      <c r="M55" s="171"/>
      <c r="N55" s="171"/>
      <c r="O55" s="171"/>
      <c r="P55" s="171"/>
      <c r="Q55" s="171"/>
      <c r="R55" s="171"/>
      <c r="S55" s="171"/>
      <c r="T55" s="171"/>
      <c r="U55" s="171"/>
      <c r="V55" s="171"/>
      <c r="W55" s="171"/>
      <c r="X55" s="171"/>
      <c r="Y55" s="171"/>
      <c r="Z55" s="171"/>
      <c r="AF55" s="2" t="s">
        <v>18</v>
      </c>
      <c r="AG55" s="172">
        <f>IF(ISBLANK($AF$7),0,$AF$7)</f>
        <v>0</v>
      </c>
      <c r="AH55" s="172"/>
      <c r="AI55" s="172"/>
      <c r="AJ55" s="172"/>
      <c r="AK55" s="172"/>
    </row>
    <row r="56" spans="1:75" ht="15" customHeight="1" x14ac:dyDescent="0.3">
      <c r="F56" s="3"/>
      <c r="G56" s="3"/>
      <c r="H56" s="3"/>
      <c r="I56" s="3"/>
      <c r="J56" s="3"/>
      <c r="K56" s="2"/>
      <c r="L56" s="2"/>
      <c r="M56" s="2"/>
      <c r="N56" s="2"/>
      <c r="O56" s="3"/>
      <c r="P56" s="8"/>
      <c r="Q56" s="8"/>
      <c r="R56" s="8"/>
      <c r="S56" s="8"/>
      <c r="T56" s="8"/>
      <c r="U56" s="8"/>
      <c r="V56" s="8"/>
      <c r="W56" s="8"/>
      <c r="X56" s="8"/>
      <c r="Y56" s="8"/>
      <c r="Z56" s="8"/>
      <c r="AA56" s="8"/>
      <c r="AB56" s="8"/>
      <c r="AC56" s="8"/>
      <c r="AD56" s="8"/>
      <c r="AE56" s="8"/>
      <c r="AF56" s="2" t="s">
        <v>31</v>
      </c>
      <c r="AG56" s="169">
        <f>IF(ISBLANK($AF$8),"",$AF$8)</f>
        <v>0</v>
      </c>
      <c r="AH56" s="169"/>
      <c r="AI56" s="169"/>
      <c r="AJ56" s="169"/>
      <c r="AK56" s="169"/>
    </row>
    <row r="57" spans="1:75" ht="4.95" customHeight="1" x14ac:dyDescent="0.3">
      <c r="F57" s="3"/>
      <c r="G57" s="3"/>
      <c r="H57" s="3"/>
      <c r="I57" s="3"/>
      <c r="J57" s="3"/>
      <c r="K57" s="2"/>
      <c r="L57" s="2"/>
      <c r="M57" s="2"/>
      <c r="N57" s="2"/>
      <c r="O57" s="3"/>
      <c r="P57" s="8"/>
      <c r="Q57" s="8"/>
      <c r="R57" s="8"/>
      <c r="S57" s="8"/>
      <c r="T57" s="8"/>
      <c r="U57" s="8"/>
      <c r="V57" s="8"/>
      <c r="W57" s="8"/>
      <c r="X57" s="8"/>
      <c r="Y57" s="8"/>
      <c r="Z57" s="8"/>
      <c r="AA57" s="8"/>
      <c r="AB57" s="8"/>
      <c r="AC57" s="8"/>
      <c r="AD57" s="8"/>
      <c r="AE57" s="8"/>
      <c r="AF57" s="8"/>
      <c r="AG57" s="8"/>
      <c r="AH57" s="8"/>
      <c r="AI57" s="8"/>
      <c r="AJ57" s="2"/>
      <c r="AK57" s="20"/>
      <c r="AL57" s="20"/>
    </row>
    <row r="58" spans="1:75" ht="15" customHeight="1" x14ac:dyDescent="0.3">
      <c r="A58" s="224" t="s">
        <v>52</v>
      </c>
      <c r="B58" s="224"/>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row>
    <row r="59" spans="1:75" ht="15" customHeight="1" x14ac:dyDescent="0.3">
      <c r="B59" s="1" t="s">
        <v>50</v>
      </c>
      <c r="D59" s="1"/>
      <c r="E59" s="1"/>
      <c r="G59" s="1"/>
      <c r="H59" s="1"/>
      <c r="J59" s="14" t="s">
        <v>53</v>
      </c>
      <c r="K59" s="238">
        <f>'Form 2A.1 - Design'!H99</f>
        <v>0</v>
      </c>
      <c r="L59" s="238"/>
      <c r="M59" s="238"/>
      <c r="N59" s="4" t="s">
        <v>33</v>
      </c>
      <c r="P59" s="4" t="s">
        <v>232</v>
      </c>
      <c r="Q59" s="211">
        <f>'Form 2A.1 - Design'!AD99</f>
        <v>0</v>
      </c>
      <c r="R59" s="241"/>
      <c r="S59" s="241"/>
      <c r="T59" s="81"/>
      <c r="U59" s="1" t="s">
        <v>51</v>
      </c>
      <c r="AB59" s="14" t="s">
        <v>54</v>
      </c>
      <c r="AC59" s="191"/>
      <c r="AD59" s="191"/>
      <c r="AE59" s="191"/>
      <c r="AF59" s="4" t="s">
        <v>33</v>
      </c>
      <c r="AH59" s="4" t="s">
        <v>232</v>
      </c>
      <c r="AI59" s="183"/>
      <c r="AJ59" s="183"/>
      <c r="AK59" s="183"/>
      <c r="AM59" s="87" t="str">
        <f>IF(ISBLANK(AC59),"",IF(OR(AC59=K59,AC59&gt;K59),1,2))</f>
        <v/>
      </c>
      <c r="AN59" s="80" t="s">
        <v>144</v>
      </c>
      <c r="AO59" s="87">
        <f>IF(OR(K59=0,ISBLANK(AC59)),2,1)</f>
        <v>2</v>
      </c>
    </row>
    <row r="60" spans="1:75" ht="15" customHeight="1" x14ac:dyDescent="0.3">
      <c r="F60" s="3"/>
      <c r="G60" s="3"/>
      <c r="H60" s="3"/>
      <c r="I60" s="3"/>
      <c r="J60" s="3"/>
      <c r="K60" s="2"/>
      <c r="L60" s="2"/>
      <c r="M60" s="2"/>
      <c r="N60" s="2"/>
      <c r="O60" s="3"/>
      <c r="P60" s="8"/>
      <c r="Q60" s="8"/>
      <c r="R60" s="8"/>
      <c r="S60" s="8"/>
      <c r="T60" s="8"/>
      <c r="U60" s="8"/>
      <c r="V60" s="8"/>
      <c r="W60" s="8"/>
      <c r="X60" s="8"/>
      <c r="Y60" s="8"/>
      <c r="Z60" s="8"/>
      <c r="AA60" s="8"/>
      <c r="AB60" s="8"/>
      <c r="AC60" s="8"/>
      <c r="AD60" s="8"/>
      <c r="AE60" s="8"/>
      <c r="AF60" s="8"/>
      <c r="AG60" s="8"/>
      <c r="AH60" s="8"/>
      <c r="AI60" s="8"/>
      <c r="AJ60" s="2"/>
      <c r="AK60" s="20"/>
      <c r="AL60" s="20"/>
    </row>
    <row r="61" spans="1:75" ht="15" customHeight="1" x14ac:dyDescent="0.3">
      <c r="A61" s="224" t="s">
        <v>319</v>
      </c>
      <c r="B61" s="224"/>
      <c r="C61" s="224"/>
      <c r="D61" s="224"/>
      <c r="E61" s="224"/>
      <c r="F61" s="224"/>
      <c r="G61" s="224"/>
      <c r="H61" s="224"/>
      <c r="I61" s="224"/>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24"/>
      <c r="AJ61" s="224"/>
      <c r="AK61" s="224"/>
      <c r="AL61" s="224"/>
      <c r="AM61" s="83"/>
      <c r="AN61" s="83"/>
    </row>
    <row r="62" spans="1:75" ht="15" customHeight="1" x14ac:dyDescent="0.3">
      <c r="B62" s="1" t="s">
        <v>50</v>
      </c>
      <c r="D62" s="1"/>
      <c r="E62" s="1"/>
      <c r="G62" s="1"/>
      <c r="H62" s="1"/>
      <c r="I62" s="1"/>
      <c r="J62" s="1"/>
      <c r="T62" s="81"/>
      <c r="U62" s="1" t="s">
        <v>51</v>
      </c>
      <c r="AB62" s="1"/>
      <c r="AC62" s="1"/>
      <c r="AD62" s="1"/>
      <c r="AM62" s="87">
        <f>IF(ISBLANK(AI78),0,IF(AI78&lt;Tables!F38,1,""))</f>
        <v>0</v>
      </c>
    </row>
    <row r="63" spans="1:75" ht="15" customHeight="1" x14ac:dyDescent="0.3">
      <c r="C63" s="187" t="s">
        <v>15</v>
      </c>
      <c r="D63" s="187"/>
      <c r="E63" s="187"/>
      <c r="F63" s="187"/>
      <c r="G63" s="6"/>
      <c r="H63" s="187" t="s">
        <v>16</v>
      </c>
      <c r="I63" s="187"/>
      <c r="J63" s="187"/>
      <c r="K63" s="187"/>
      <c r="L63" s="187"/>
      <c r="M63" s="6"/>
      <c r="N63" s="4" t="s">
        <v>45</v>
      </c>
      <c r="T63" s="81"/>
      <c r="X63" s="6" t="s">
        <v>15</v>
      </c>
      <c r="AC63" s="6" t="s">
        <v>16</v>
      </c>
      <c r="AD63" s="6"/>
      <c r="AG63" s="6"/>
      <c r="AH63" s="4" t="s">
        <v>45</v>
      </c>
      <c r="AI63" s="6"/>
    </row>
    <row r="64" spans="1:75" ht="14.55" customHeight="1" x14ac:dyDescent="0.3">
      <c r="C64" s="220">
        <f>'Form 2A.1 - Design'!C92</f>
        <v>0</v>
      </c>
      <c r="D64" s="220"/>
      <c r="E64" s="220"/>
      <c r="F64" s="4" t="s">
        <v>39</v>
      </c>
      <c r="H64" s="236">
        <f>'Form 2A.1 - Design'!H92</f>
        <v>0</v>
      </c>
      <c r="I64" s="236"/>
      <c r="J64" s="236"/>
      <c r="K64" s="236"/>
      <c r="L64" s="4" t="s">
        <v>35</v>
      </c>
      <c r="M64" s="84"/>
      <c r="N64" s="236">
        <f>'Form 2A.1 - Design'!M92</f>
        <v>0</v>
      </c>
      <c r="O64" s="236"/>
      <c r="P64" s="236"/>
      <c r="Q64" s="236"/>
      <c r="R64" s="4" t="s">
        <v>33</v>
      </c>
      <c r="T64" s="81"/>
      <c r="W64" s="183"/>
      <c r="X64" s="183"/>
      <c r="Y64" s="183"/>
      <c r="Z64" s="4" t="s">
        <v>39</v>
      </c>
      <c r="AB64" s="191"/>
      <c r="AC64" s="191"/>
      <c r="AD64" s="191"/>
      <c r="AE64" s="191"/>
      <c r="AF64" s="4" t="s">
        <v>35</v>
      </c>
      <c r="AG64" s="6"/>
      <c r="AH64" s="191"/>
      <c r="AI64" s="191"/>
      <c r="AJ64" s="191"/>
      <c r="AK64" s="191"/>
      <c r="AL64" s="4" t="s">
        <v>33</v>
      </c>
      <c r="AM64" s="87">
        <f>IF(ISBLANK(AB64),0,1)</f>
        <v>0</v>
      </c>
      <c r="AN64" s="87">
        <f>IF(ISBLANK(AH64),0,1)</f>
        <v>0</v>
      </c>
      <c r="AO64" s="87">
        <f t="shared" ref="AO64:AO77" si="3">IF(ISBLANK(W64),1,2)</f>
        <v>1</v>
      </c>
    </row>
    <row r="65" spans="3:46" ht="14.55" customHeight="1" x14ac:dyDescent="0.3">
      <c r="C65" s="220">
        <f>'Form 2A.1 - Design'!C93</f>
        <v>0</v>
      </c>
      <c r="D65" s="220"/>
      <c r="E65" s="220"/>
      <c r="F65" s="4" t="s">
        <v>39</v>
      </c>
      <c r="H65" s="236">
        <f>'Form 2A.1 - Design'!H93</f>
        <v>0</v>
      </c>
      <c r="I65" s="236"/>
      <c r="J65" s="236"/>
      <c r="K65" s="236"/>
      <c r="L65" s="4" t="s">
        <v>35</v>
      </c>
      <c r="M65" s="84"/>
      <c r="N65" s="236">
        <f>'Form 2A.1 - Design'!M93</f>
        <v>0</v>
      </c>
      <c r="O65" s="236"/>
      <c r="P65" s="236"/>
      <c r="Q65" s="236"/>
      <c r="R65" s="4" t="s">
        <v>33</v>
      </c>
      <c r="T65" s="81"/>
      <c r="W65" s="193"/>
      <c r="X65" s="193"/>
      <c r="Y65" s="193"/>
      <c r="Z65" s="4" t="s">
        <v>39</v>
      </c>
      <c r="AB65" s="184"/>
      <c r="AC65" s="184"/>
      <c r="AD65" s="184"/>
      <c r="AE65" s="184"/>
      <c r="AF65" s="4" t="s">
        <v>35</v>
      </c>
      <c r="AG65" s="6"/>
      <c r="AH65" s="184"/>
      <c r="AI65" s="184"/>
      <c r="AJ65" s="184"/>
      <c r="AK65" s="184"/>
      <c r="AL65" s="4" t="s">
        <v>33</v>
      </c>
      <c r="AO65" s="87">
        <f t="shared" si="3"/>
        <v>1</v>
      </c>
    </row>
    <row r="66" spans="3:46" ht="14.55" customHeight="1" x14ac:dyDescent="0.3">
      <c r="C66" s="220">
        <f>'Form 2A.1 - Design'!C94</f>
        <v>0</v>
      </c>
      <c r="D66" s="220"/>
      <c r="E66" s="220"/>
      <c r="F66" s="4" t="s">
        <v>39</v>
      </c>
      <c r="H66" s="236">
        <f>'Form 2A.1 - Design'!H94</f>
        <v>0</v>
      </c>
      <c r="I66" s="236"/>
      <c r="J66" s="236"/>
      <c r="K66" s="236"/>
      <c r="L66" s="4" t="s">
        <v>35</v>
      </c>
      <c r="M66" s="84"/>
      <c r="N66" s="236">
        <f>'Form 2A.1 - Design'!M94</f>
        <v>0</v>
      </c>
      <c r="O66" s="236"/>
      <c r="P66" s="236"/>
      <c r="Q66" s="236"/>
      <c r="R66" s="4" t="s">
        <v>33</v>
      </c>
      <c r="T66" s="81"/>
      <c r="W66" s="193"/>
      <c r="X66" s="193"/>
      <c r="Y66" s="193"/>
      <c r="Z66" s="4" t="s">
        <v>39</v>
      </c>
      <c r="AB66" s="184"/>
      <c r="AC66" s="184"/>
      <c r="AD66" s="184"/>
      <c r="AE66" s="184"/>
      <c r="AF66" s="4" t="s">
        <v>35</v>
      </c>
      <c r="AG66" s="6"/>
      <c r="AH66" s="184"/>
      <c r="AI66" s="184"/>
      <c r="AJ66" s="184"/>
      <c r="AK66" s="184"/>
      <c r="AL66" s="4" t="s">
        <v>33</v>
      </c>
      <c r="AO66" s="87">
        <f t="shared" si="3"/>
        <v>1</v>
      </c>
    </row>
    <row r="67" spans="3:46" ht="14.55" customHeight="1" x14ac:dyDescent="0.3">
      <c r="C67" s="220">
        <f>'Form 2A.1 - Design'!C95</f>
        <v>0</v>
      </c>
      <c r="D67" s="220"/>
      <c r="E67" s="220"/>
      <c r="F67" s="4" t="s">
        <v>39</v>
      </c>
      <c r="H67" s="236">
        <f>'Form 2A.1 - Design'!H95</f>
        <v>0</v>
      </c>
      <c r="I67" s="236"/>
      <c r="J67" s="236"/>
      <c r="K67" s="236"/>
      <c r="L67" s="4" t="s">
        <v>35</v>
      </c>
      <c r="M67" s="84"/>
      <c r="N67" s="236">
        <f>'Form 2A.1 - Design'!M95</f>
        <v>0</v>
      </c>
      <c r="O67" s="236"/>
      <c r="P67" s="236"/>
      <c r="Q67" s="236"/>
      <c r="R67" s="4" t="s">
        <v>33</v>
      </c>
      <c r="T67" s="81"/>
      <c r="W67" s="193"/>
      <c r="X67" s="193"/>
      <c r="Y67" s="193"/>
      <c r="Z67" s="4" t="s">
        <v>39</v>
      </c>
      <c r="AB67" s="184"/>
      <c r="AC67" s="184"/>
      <c r="AD67" s="184"/>
      <c r="AE67" s="184"/>
      <c r="AF67" s="4" t="s">
        <v>35</v>
      </c>
      <c r="AG67" s="6"/>
      <c r="AH67" s="184"/>
      <c r="AI67" s="184"/>
      <c r="AJ67" s="184"/>
      <c r="AK67" s="184"/>
      <c r="AL67" s="4" t="s">
        <v>33</v>
      </c>
      <c r="AO67" s="87">
        <f t="shared" si="3"/>
        <v>1</v>
      </c>
    </row>
    <row r="68" spans="3:46" ht="14.55" customHeight="1" x14ac:dyDescent="0.3">
      <c r="C68" s="220">
        <f>'Form 2A.1 - Design'!C96</f>
        <v>0</v>
      </c>
      <c r="D68" s="220"/>
      <c r="E68" s="220"/>
      <c r="F68" s="4" t="s">
        <v>39</v>
      </c>
      <c r="H68" s="236">
        <f>'Form 2A.1 - Design'!H96</f>
        <v>0</v>
      </c>
      <c r="I68" s="236"/>
      <c r="J68" s="236"/>
      <c r="K68" s="236"/>
      <c r="L68" s="4" t="s">
        <v>35</v>
      </c>
      <c r="M68" s="84"/>
      <c r="N68" s="236">
        <f>'Form 2A.1 - Design'!M96</f>
        <v>0</v>
      </c>
      <c r="O68" s="236"/>
      <c r="P68" s="236"/>
      <c r="Q68" s="236"/>
      <c r="R68" s="4" t="s">
        <v>33</v>
      </c>
      <c r="T68" s="81"/>
      <c r="W68" s="193"/>
      <c r="X68" s="193"/>
      <c r="Y68" s="193"/>
      <c r="Z68" s="4" t="s">
        <v>39</v>
      </c>
      <c r="AB68" s="184"/>
      <c r="AC68" s="184"/>
      <c r="AD68" s="184"/>
      <c r="AE68" s="184"/>
      <c r="AF68" s="4" t="s">
        <v>35</v>
      </c>
      <c r="AG68" s="6"/>
      <c r="AH68" s="184"/>
      <c r="AI68" s="184"/>
      <c r="AJ68" s="184"/>
      <c r="AK68" s="184"/>
      <c r="AL68" s="4" t="s">
        <v>33</v>
      </c>
      <c r="AO68" s="87">
        <f t="shared" si="3"/>
        <v>1</v>
      </c>
    </row>
    <row r="69" spans="3:46" ht="14.55" customHeight="1" x14ac:dyDescent="0.3">
      <c r="C69" s="220">
        <f>'Form 2A.1 - Design'!C97</f>
        <v>0</v>
      </c>
      <c r="D69" s="220"/>
      <c r="E69" s="220"/>
      <c r="F69" s="4" t="s">
        <v>39</v>
      </c>
      <c r="H69" s="236">
        <f>'Form 2A.1 - Design'!H97</f>
        <v>0</v>
      </c>
      <c r="I69" s="236"/>
      <c r="J69" s="236"/>
      <c r="K69" s="236"/>
      <c r="L69" s="4" t="s">
        <v>35</v>
      </c>
      <c r="M69" s="84"/>
      <c r="N69" s="236">
        <f>'Form 2A.1 - Design'!M97</f>
        <v>0</v>
      </c>
      <c r="O69" s="236"/>
      <c r="P69" s="236"/>
      <c r="Q69" s="236"/>
      <c r="R69" s="4" t="s">
        <v>33</v>
      </c>
      <c r="T69" s="81"/>
      <c r="W69" s="193"/>
      <c r="X69" s="193"/>
      <c r="Y69" s="193"/>
      <c r="Z69" s="4" t="s">
        <v>39</v>
      </c>
      <c r="AB69" s="184"/>
      <c r="AC69" s="184"/>
      <c r="AD69" s="184"/>
      <c r="AE69" s="184"/>
      <c r="AF69" s="4" t="s">
        <v>35</v>
      </c>
      <c r="AG69" s="6"/>
      <c r="AH69" s="184"/>
      <c r="AI69" s="184"/>
      <c r="AJ69" s="184"/>
      <c r="AK69" s="184"/>
      <c r="AL69" s="4" t="s">
        <v>33</v>
      </c>
      <c r="AO69" s="87">
        <f t="shared" si="3"/>
        <v>1</v>
      </c>
    </row>
    <row r="70" spans="3:46" ht="14.55" customHeight="1" x14ac:dyDescent="0.3">
      <c r="C70" s="220">
        <f>'Form 2A.1 - Design'!C98</f>
        <v>0</v>
      </c>
      <c r="D70" s="220"/>
      <c r="E70" s="220"/>
      <c r="F70" s="4" t="s">
        <v>39</v>
      </c>
      <c r="H70" s="236">
        <f>'Form 2A.1 - Design'!H98</f>
        <v>0</v>
      </c>
      <c r="I70" s="236"/>
      <c r="J70" s="236"/>
      <c r="K70" s="236"/>
      <c r="L70" s="4" t="s">
        <v>35</v>
      </c>
      <c r="M70" s="84"/>
      <c r="N70" s="236">
        <f>'Form 2A.1 - Design'!M98</f>
        <v>0</v>
      </c>
      <c r="O70" s="236"/>
      <c r="P70" s="236"/>
      <c r="Q70" s="236"/>
      <c r="R70" s="4" t="s">
        <v>33</v>
      </c>
      <c r="T70" s="81"/>
      <c r="W70" s="193"/>
      <c r="X70" s="193"/>
      <c r="Y70" s="193"/>
      <c r="Z70" s="4" t="s">
        <v>39</v>
      </c>
      <c r="AB70" s="184"/>
      <c r="AC70" s="184"/>
      <c r="AD70" s="184"/>
      <c r="AE70" s="184"/>
      <c r="AF70" s="4" t="s">
        <v>35</v>
      </c>
      <c r="AG70" s="6"/>
      <c r="AH70" s="184"/>
      <c r="AI70" s="184"/>
      <c r="AJ70" s="184"/>
      <c r="AK70" s="184"/>
      <c r="AL70" s="4" t="s">
        <v>33</v>
      </c>
      <c r="AO70" s="87">
        <f t="shared" si="3"/>
        <v>1</v>
      </c>
    </row>
    <row r="71" spans="3:46" ht="14.55" customHeight="1" x14ac:dyDescent="0.3">
      <c r="C71" s="242">
        <f>'Form 2A.1 - Design'!S92</f>
        <v>0</v>
      </c>
      <c r="D71" s="242"/>
      <c r="E71" s="242"/>
      <c r="F71" s="4" t="s">
        <v>39</v>
      </c>
      <c r="H71" s="222">
        <f>'Form 2A.1 - Design'!X92</f>
        <v>0</v>
      </c>
      <c r="I71" s="222"/>
      <c r="J71" s="222"/>
      <c r="K71" s="222"/>
      <c r="L71" s="4" t="s">
        <v>35</v>
      </c>
      <c r="M71" s="84"/>
      <c r="N71" s="222">
        <f>'Form 2A.1 - Design'!AD92</f>
        <v>0</v>
      </c>
      <c r="O71" s="222"/>
      <c r="P71" s="222"/>
      <c r="Q71" s="222"/>
      <c r="R71" s="4" t="s">
        <v>33</v>
      </c>
      <c r="T71" s="81"/>
      <c r="W71" s="193"/>
      <c r="X71" s="193"/>
      <c r="Y71" s="193"/>
      <c r="Z71" s="4" t="s">
        <v>39</v>
      </c>
      <c r="AB71" s="184"/>
      <c r="AC71" s="184"/>
      <c r="AD71" s="184"/>
      <c r="AE71" s="184"/>
      <c r="AF71" s="4" t="s">
        <v>35</v>
      </c>
      <c r="AG71" s="6"/>
      <c r="AH71" s="184"/>
      <c r="AI71" s="184"/>
      <c r="AJ71" s="184"/>
      <c r="AK71" s="184"/>
      <c r="AL71" s="4" t="s">
        <v>33</v>
      </c>
      <c r="AO71" s="87">
        <f t="shared" si="3"/>
        <v>1</v>
      </c>
    </row>
    <row r="72" spans="3:46" ht="14.55" customHeight="1" x14ac:dyDescent="0.3">
      <c r="C72" s="242">
        <f>'Form 2A.1 - Design'!S93</f>
        <v>0</v>
      </c>
      <c r="D72" s="242"/>
      <c r="E72" s="242"/>
      <c r="F72" s="4" t="s">
        <v>39</v>
      </c>
      <c r="H72" s="222">
        <f>'Form 2A.1 - Design'!X93</f>
        <v>0</v>
      </c>
      <c r="I72" s="222"/>
      <c r="J72" s="222"/>
      <c r="K72" s="222"/>
      <c r="L72" s="4" t="s">
        <v>35</v>
      </c>
      <c r="M72" s="84"/>
      <c r="N72" s="222">
        <f>'Form 2A.1 - Design'!AD93</f>
        <v>0</v>
      </c>
      <c r="O72" s="222"/>
      <c r="P72" s="222"/>
      <c r="Q72" s="222"/>
      <c r="R72" s="4" t="s">
        <v>33</v>
      </c>
      <c r="T72" s="81"/>
      <c r="W72" s="193"/>
      <c r="X72" s="193"/>
      <c r="Y72" s="193"/>
      <c r="Z72" s="4" t="s">
        <v>39</v>
      </c>
      <c r="AB72" s="184"/>
      <c r="AC72" s="184"/>
      <c r="AD72" s="184"/>
      <c r="AE72" s="184"/>
      <c r="AF72" s="4" t="s">
        <v>35</v>
      </c>
      <c r="AG72" s="6"/>
      <c r="AH72" s="184"/>
      <c r="AI72" s="184"/>
      <c r="AJ72" s="184"/>
      <c r="AK72" s="184"/>
      <c r="AL72" s="4" t="s">
        <v>33</v>
      </c>
      <c r="AO72" s="87">
        <f t="shared" si="3"/>
        <v>1</v>
      </c>
    </row>
    <row r="73" spans="3:46" ht="14.55" customHeight="1" x14ac:dyDescent="0.3">
      <c r="C73" s="242">
        <f>'Form 2A.1 - Design'!S94</f>
        <v>0</v>
      </c>
      <c r="D73" s="242"/>
      <c r="E73" s="242"/>
      <c r="F73" s="4" t="s">
        <v>39</v>
      </c>
      <c r="H73" s="222">
        <f>'Form 2A.1 - Design'!X94</f>
        <v>0</v>
      </c>
      <c r="I73" s="222"/>
      <c r="J73" s="222"/>
      <c r="K73" s="222"/>
      <c r="L73" s="4" t="s">
        <v>35</v>
      </c>
      <c r="M73" s="84"/>
      <c r="N73" s="222">
        <f>'Form 2A.1 - Design'!AD94</f>
        <v>0</v>
      </c>
      <c r="O73" s="222"/>
      <c r="P73" s="222"/>
      <c r="Q73" s="222"/>
      <c r="R73" s="4" t="s">
        <v>33</v>
      </c>
      <c r="T73" s="81"/>
      <c r="W73" s="193"/>
      <c r="X73" s="193"/>
      <c r="Y73" s="193"/>
      <c r="Z73" s="4" t="s">
        <v>39</v>
      </c>
      <c r="AB73" s="184"/>
      <c r="AC73" s="184"/>
      <c r="AD73" s="184"/>
      <c r="AE73" s="184"/>
      <c r="AF73" s="4" t="s">
        <v>35</v>
      </c>
      <c r="AG73" s="6"/>
      <c r="AH73" s="184"/>
      <c r="AI73" s="184"/>
      <c r="AJ73" s="184"/>
      <c r="AK73" s="184"/>
      <c r="AL73" s="4" t="s">
        <v>33</v>
      </c>
      <c r="AO73" s="87">
        <f t="shared" si="3"/>
        <v>1</v>
      </c>
    </row>
    <row r="74" spans="3:46" ht="14.55" customHeight="1" x14ac:dyDescent="0.3">
      <c r="C74" s="242">
        <f>'Form 2A.1 - Design'!S95</f>
        <v>0</v>
      </c>
      <c r="D74" s="242"/>
      <c r="E74" s="242"/>
      <c r="F74" s="4" t="s">
        <v>39</v>
      </c>
      <c r="H74" s="222">
        <f>'Form 2A.1 - Design'!X95</f>
        <v>0</v>
      </c>
      <c r="I74" s="222"/>
      <c r="J74" s="222"/>
      <c r="K74" s="222"/>
      <c r="L74" s="4" t="s">
        <v>35</v>
      </c>
      <c r="M74" s="84"/>
      <c r="N74" s="222">
        <f>'Form 2A.1 - Design'!AD95</f>
        <v>0</v>
      </c>
      <c r="O74" s="222"/>
      <c r="P74" s="222"/>
      <c r="Q74" s="222"/>
      <c r="R74" s="4" t="s">
        <v>33</v>
      </c>
      <c r="T74" s="81"/>
      <c r="W74" s="193"/>
      <c r="X74" s="193"/>
      <c r="Y74" s="193"/>
      <c r="Z74" s="4" t="s">
        <v>39</v>
      </c>
      <c r="AB74" s="184"/>
      <c r="AC74" s="184"/>
      <c r="AD74" s="184"/>
      <c r="AE74" s="184"/>
      <c r="AF74" s="4" t="s">
        <v>35</v>
      </c>
      <c r="AG74" s="6"/>
      <c r="AH74" s="184"/>
      <c r="AI74" s="184"/>
      <c r="AJ74" s="184"/>
      <c r="AK74" s="184"/>
      <c r="AL74" s="4" t="s">
        <v>33</v>
      </c>
      <c r="AO74" s="87">
        <f t="shared" si="3"/>
        <v>1</v>
      </c>
    </row>
    <row r="75" spans="3:46" ht="14.55" customHeight="1" x14ac:dyDescent="0.3">
      <c r="C75" s="242">
        <f>'Form 2A.1 - Design'!S96</f>
        <v>0</v>
      </c>
      <c r="D75" s="242"/>
      <c r="E75" s="242"/>
      <c r="F75" s="4" t="s">
        <v>39</v>
      </c>
      <c r="H75" s="222">
        <f>'Form 2A.1 - Design'!X96</f>
        <v>0</v>
      </c>
      <c r="I75" s="222"/>
      <c r="J75" s="222"/>
      <c r="K75" s="222"/>
      <c r="L75" s="4" t="s">
        <v>35</v>
      </c>
      <c r="M75" s="84"/>
      <c r="N75" s="222">
        <f>'Form 2A.1 - Design'!AD96</f>
        <v>0</v>
      </c>
      <c r="O75" s="222"/>
      <c r="P75" s="222"/>
      <c r="Q75" s="222"/>
      <c r="R75" s="4" t="s">
        <v>33</v>
      </c>
      <c r="T75" s="81"/>
      <c r="W75" s="193"/>
      <c r="X75" s="193"/>
      <c r="Y75" s="193"/>
      <c r="Z75" s="4" t="s">
        <v>39</v>
      </c>
      <c r="AB75" s="184"/>
      <c r="AC75" s="184"/>
      <c r="AD75" s="184"/>
      <c r="AE75" s="184"/>
      <c r="AF75" s="4" t="s">
        <v>35</v>
      </c>
      <c r="AG75" s="6"/>
      <c r="AH75" s="184"/>
      <c r="AI75" s="184"/>
      <c r="AJ75" s="184"/>
      <c r="AK75" s="184"/>
      <c r="AL75" s="4" t="s">
        <v>33</v>
      </c>
      <c r="AO75" s="87">
        <f t="shared" si="3"/>
        <v>1</v>
      </c>
    </row>
    <row r="76" spans="3:46" ht="14.55" customHeight="1" x14ac:dyDescent="0.3">
      <c r="C76" s="242">
        <f>'Form 2A.1 - Design'!S97</f>
        <v>0</v>
      </c>
      <c r="D76" s="242"/>
      <c r="E76" s="242"/>
      <c r="F76" s="4" t="s">
        <v>39</v>
      </c>
      <c r="H76" s="222">
        <f>'Form 2A.1 - Design'!X97</f>
        <v>0</v>
      </c>
      <c r="I76" s="222"/>
      <c r="J76" s="222"/>
      <c r="K76" s="222"/>
      <c r="L76" s="4" t="s">
        <v>35</v>
      </c>
      <c r="M76" s="84"/>
      <c r="N76" s="222">
        <f>'Form 2A.1 - Design'!AD97</f>
        <v>0</v>
      </c>
      <c r="O76" s="222"/>
      <c r="P76" s="222"/>
      <c r="Q76" s="222"/>
      <c r="R76" s="4" t="s">
        <v>33</v>
      </c>
      <c r="T76" s="81"/>
      <c r="W76" s="193"/>
      <c r="X76" s="193"/>
      <c r="Y76" s="193"/>
      <c r="Z76" s="4" t="s">
        <v>39</v>
      </c>
      <c r="AB76" s="184"/>
      <c r="AC76" s="184"/>
      <c r="AD76" s="184"/>
      <c r="AE76" s="184"/>
      <c r="AF76" s="4" t="s">
        <v>35</v>
      </c>
      <c r="AG76" s="6"/>
      <c r="AH76" s="184"/>
      <c r="AI76" s="184"/>
      <c r="AJ76" s="184"/>
      <c r="AK76" s="184"/>
      <c r="AL76" s="4" t="s">
        <v>33</v>
      </c>
      <c r="AO76" s="87">
        <f t="shared" si="3"/>
        <v>1</v>
      </c>
    </row>
    <row r="77" spans="3:46" ht="14.55" customHeight="1" x14ac:dyDescent="0.3">
      <c r="C77" s="242">
        <f>'Form 2A.1 - Design'!S98</f>
        <v>0</v>
      </c>
      <c r="D77" s="242"/>
      <c r="E77" s="242"/>
      <c r="F77" s="4" t="s">
        <v>39</v>
      </c>
      <c r="H77" s="222">
        <f>'Form 2A.1 - Design'!X98</f>
        <v>0</v>
      </c>
      <c r="I77" s="222"/>
      <c r="J77" s="222"/>
      <c r="K77" s="222"/>
      <c r="L77" s="4" t="s">
        <v>35</v>
      </c>
      <c r="M77" s="84"/>
      <c r="N77" s="222">
        <f>'Form 2A.1 - Design'!AD98</f>
        <v>0</v>
      </c>
      <c r="O77" s="222"/>
      <c r="P77" s="222"/>
      <c r="Q77" s="222"/>
      <c r="R77" s="4" t="s">
        <v>33</v>
      </c>
      <c r="T77" s="81"/>
      <c r="W77" s="193"/>
      <c r="X77" s="193"/>
      <c r="Y77" s="193"/>
      <c r="Z77" s="4" t="s">
        <v>39</v>
      </c>
      <c r="AB77" s="184"/>
      <c r="AC77" s="184"/>
      <c r="AD77" s="184"/>
      <c r="AE77" s="184"/>
      <c r="AF77" s="4" t="s">
        <v>35</v>
      </c>
      <c r="AG77" s="6"/>
      <c r="AH77" s="184"/>
      <c r="AI77" s="184"/>
      <c r="AJ77" s="184"/>
      <c r="AK77" s="184"/>
      <c r="AL77" s="4" t="s">
        <v>33</v>
      </c>
      <c r="AO77" s="87">
        <f t="shared" si="3"/>
        <v>1</v>
      </c>
    </row>
    <row r="78" spans="3:46" ht="15" customHeight="1" x14ac:dyDescent="0.3">
      <c r="F78" s="13"/>
      <c r="G78" s="13"/>
      <c r="H78" s="13"/>
      <c r="I78" s="13"/>
      <c r="K78" s="84"/>
      <c r="L78" s="84"/>
      <c r="M78" s="84"/>
      <c r="N78" s="2" t="s">
        <v>386</v>
      </c>
      <c r="O78" s="220"/>
      <c r="P78" s="220"/>
      <c r="Q78" s="4" t="s">
        <v>289</v>
      </c>
      <c r="S78" s="12"/>
      <c r="T78" s="12"/>
      <c r="AA78" s="13"/>
      <c r="AB78" s="13"/>
      <c r="AC78" s="13"/>
      <c r="AD78" s="13"/>
      <c r="AF78" s="84"/>
      <c r="AH78" s="2" t="s">
        <v>386</v>
      </c>
      <c r="AI78" s="183"/>
      <c r="AJ78" s="183"/>
      <c r="AK78" s="4" t="s">
        <v>289</v>
      </c>
      <c r="AM78" s="87">
        <f>IF(ISBLANK(AI78),0,IF(AI78&lt;AS80,1,""))</f>
        <v>0</v>
      </c>
    </row>
    <row r="79" spans="3:46" ht="4.95" customHeight="1" x14ac:dyDescent="0.3"/>
    <row r="80" spans="3:46" ht="15" customHeight="1" x14ac:dyDescent="0.3">
      <c r="F80" s="13"/>
      <c r="G80" s="13"/>
      <c r="H80" s="13"/>
      <c r="I80" s="13"/>
      <c r="K80" s="84"/>
      <c r="L80" s="2" t="s">
        <v>494</v>
      </c>
      <c r="M80" s="157">
        <f>'Form 2A.1 - Design'!K101</f>
        <v>0</v>
      </c>
      <c r="N80" s="4" t="s">
        <v>118</v>
      </c>
      <c r="P80" s="157">
        <f>'Form 2A.1 - Design'!N101</f>
        <v>0</v>
      </c>
      <c r="Q80" s="16" t="s">
        <v>119</v>
      </c>
      <c r="S80" s="12"/>
      <c r="T80" s="12"/>
      <c r="AA80" s="13"/>
      <c r="AB80" s="13"/>
      <c r="AC80" s="13"/>
      <c r="AD80" s="13"/>
      <c r="AE80" s="2" t="s">
        <v>494</v>
      </c>
      <c r="AF80" s="156"/>
      <c r="AG80" s="4" t="s">
        <v>118</v>
      </c>
      <c r="AI80" s="156"/>
      <c r="AJ80" s="16" t="s">
        <v>119</v>
      </c>
      <c r="AM80" s="92">
        <f>IF(AND(ISBLANK(AF80),ISBLANK(AI80)),1,0)</f>
        <v>1</v>
      </c>
      <c r="AN80" s="87">
        <f>IF(ISBLANK(AI80),1,IF(AND(AI80&gt;0,AI78&lt;2),2,1))</f>
        <v>1</v>
      </c>
      <c r="AO80" s="87">
        <f>IF(ISBLANK(AI80),1,IF(AND(P80&gt;0,AI78&lt;2),2,1))</f>
        <v>1</v>
      </c>
      <c r="AQ80" s="87">
        <f>IF(ISBLANK(AI78),0,IF(AI78&lt;AS80,1,""))</f>
        <v>0</v>
      </c>
      <c r="AR80" s="87">
        <f>IF(ISBLANK(AF80),1,3)</f>
        <v>1</v>
      </c>
      <c r="AS80" s="87">
        <f>IF(AR80=3,1,Tables!$F$38)</f>
        <v>1</v>
      </c>
      <c r="AT80" s="42" t="s">
        <v>496</v>
      </c>
    </row>
    <row r="81" spans="1:46" ht="15" customHeight="1" x14ac:dyDescent="0.3">
      <c r="F81" s="13"/>
      <c r="G81" s="13"/>
      <c r="H81" s="13"/>
      <c r="I81" s="13"/>
      <c r="K81" s="84"/>
      <c r="L81" s="84"/>
      <c r="M81" s="84"/>
      <c r="N81" s="84"/>
      <c r="P81" s="12"/>
      <c r="Q81" s="12"/>
      <c r="R81" s="12"/>
      <c r="S81" s="12"/>
      <c r="T81" s="12"/>
      <c r="AA81" s="13"/>
      <c r="AB81" s="13"/>
      <c r="AC81" s="13"/>
      <c r="AD81" s="13"/>
      <c r="AF81" s="84"/>
      <c r="AG81" s="84"/>
      <c r="AH81" s="12"/>
      <c r="AI81" s="12"/>
      <c r="AJ81" s="12"/>
      <c r="AK81" s="12"/>
    </row>
    <row r="82" spans="1:46" ht="15" customHeight="1" x14ac:dyDescent="0.3">
      <c r="A82" s="224" t="s">
        <v>318</v>
      </c>
      <c r="B82" s="224"/>
      <c r="C82" s="224"/>
      <c r="D82" s="224"/>
      <c r="E82" s="224"/>
      <c r="F82" s="224"/>
      <c r="G82" s="224"/>
      <c r="H82" s="224"/>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c r="AK82" s="224"/>
      <c r="AL82" s="224"/>
      <c r="AM82" s="83"/>
      <c r="AN82" s="83"/>
      <c r="AP82" s="87">
        <f>Tables!F26</f>
        <v>6</v>
      </c>
      <c r="AQ82" s="80" t="s">
        <v>239</v>
      </c>
    </row>
    <row r="83" spans="1:46" ht="30" customHeight="1" x14ac:dyDescent="0.3">
      <c r="B83" s="1" t="s">
        <v>50</v>
      </c>
      <c r="G83" s="1"/>
      <c r="H83" s="1"/>
      <c r="I83" s="223" t="s">
        <v>120</v>
      </c>
      <c r="J83" s="223"/>
      <c r="K83" s="223"/>
      <c r="L83" s="114"/>
      <c r="M83" s="223" t="s">
        <v>121</v>
      </c>
      <c r="N83" s="223"/>
      <c r="O83" s="223"/>
      <c r="Q83" s="223" t="s">
        <v>122</v>
      </c>
      <c r="R83" s="223"/>
      <c r="S83" s="223"/>
      <c r="U83" s="223" t="s">
        <v>199</v>
      </c>
      <c r="V83" s="223"/>
      <c r="W83" s="223"/>
      <c r="Y83" s="223" t="s">
        <v>348</v>
      </c>
      <c r="Z83" s="223"/>
      <c r="AA83" s="223"/>
      <c r="AB83" s="223"/>
      <c r="AD83" s="223" t="s">
        <v>347</v>
      </c>
      <c r="AE83" s="223"/>
      <c r="AF83" s="223"/>
      <c r="AG83" s="86"/>
      <c r="AH83" s="223" t="s">
        <v>123</v>
      </c>
      <c r="AI83" s="223"/>
      <c r="AJ83" s="223"/>
      <c r="AK83" s="223"/>
      <c r="AM83" s="72" t="s">
        <v>304</v>
      </c>
      <c r="AN83" s="42" t="s">
        <v>291</v>
      </c>
      <c r="AO83" s="72" t="s">
        <v>320</v>
      </c>
    </row>
    <row r="84" spans="1:46" ht="14.55" customHeight="1" x14ac:dyDescent="0.3">
      <c r="C84" s="203">
        <f>Tables!$F$16</f>
        <v>6.02</v>
      </c>
      <c r="D84" s="203"/>
      <c r="G84" s="2" t="str">
        <f>Tables!$D$16</f>
        <v>(2-yr)</v>
      </c>
      <c r="H84" s="13"/>
      <c r="I84" s="211">
        <f>'Form 2A.1 - Design'!I108</f>
        <v>0</v>
      </c>
      <c r="J84" s="211"/>
      <c r="K84" s="211"/>
      <c r="L84" s="18"/>
      <c r="M84" s="218">
        <f>'Form 2A.1 - Design'!M108</f>
        <v>0</v>
      </c>
      <c r="N84" s="218"/>
      <c r="O84" s="218"/>
      <c r="Q84" s="218">
        <f>'Form 2A.1 - Design'!Q108</f>
        <v>0</v>
      </c>
      <c r="R84" s="218"/>
      <c r="S84" s="218"/>
      <c r="U84" s="218">
        <f>'Form 2A.1 - Design'!U108</f>
        <v>0</v>
      </c>
      <c r="V84" s="218"/>
      <c r="W84" s="218"/>
      <c r="Y84" s="218">
        <f>'Form 2A.1 - Design'!Y108</f>
        <v>0</v>
      </c>
      <c r="Z84" s="218"/>
      <c r="AA84" s="218"/>
      <c r="AB84" s="218"/>
      <c r="AH84" s="218">
        <f>'Form 2A.1 - Design'!AG108</f>
        <v>0</v>
      </c>
      <c r="AI84" s="218"/>
      <c r="AJ84" s="218"/>
      <c r="AK84" s="218"/>
      <c r="AM84" s="87">
        <f>IF(AH84&gt;I84,1,0)</f>
        <v>0</v>
      </c>
      <c r="AN84" s="87">
        <f>IF(OR($AR$85=0,$AR$87=2),0,IF(AH84&gt;$AR$85,1,0))</f>
        <v>0</v>
      </c>
      <c r="AO84" s="87">
        <f>IF(OR($AR$86=0,$AR$87=2),0,IF($AH84&gt;$AR$86,1,0))</f>
        <v>0</v>
      </c>
      <c r="AQ84" s="72" t="s">
        <v>325</v>
      </c>
      <c r="AR84" s="72" t="s">
        <v>145</v>
      </c>
    </row>
    <row r="85" spans="1:46" ht="14.55" customHeight="1" x14ac:dyDescent="0.3">
      <c r="C85" s="203">
        <f>Tables!$F$17</f>
        <v>7.68</v>
      </c>
      <c r="D85" s="203"/>
      <c r="G85" s="2" t="str">
        <f>Tables!$D$17</f>
        <v>(5-yr)</v>
      </c>
      <c r="H85" s="13"/>
      <c r="I85" s="228">
        <f>'Form 2A.1 - Design'!I109</f>
        <v>0</v>
      </c>
      <c r="J85" s="228"/>
      <c r="K85" s="228"/>
      <c r="L85" s="18"/>
      <c r="M85" s="229">
        <f>'Form 2A.1 - Design'!M109</f>
        <v>0</v>
      </c>
      <c r="N85" s="229"/>
      <c r="O85" s="229"/>
      <c r="Q85" s="229">
        <f>'Form 2A.1 - Design'!Q109</f>
        <v>0</v>
      </c>
      <c r="R85" s="229"/>
      <c r="S85" s="229"/>
      <c r="U85" s="229">
        <f>'Form 2A.1 - Design'!U109</f>
        <v>0</v>
      </c>
      <c r="V85" s="229"/>
      <c r="W85" s="229"/>
      <c r="Y85" s="218">
        <f>'Form 2A.1 - Design'!Y109</f>
        <v>0</v>
      </c>
      <c r="Z85" s="218"/>
      <c r="AA85" s="218"/>
      <c r="AB85" s="218"/>
      <c r="AH85" s="229">
        <f>'Form 2A.1 - Design'!AG109</f>
        <v>0</v>
      </c>
      <c r="AI85" s="229"/>
      <c r="AJ85" s="229"/>
      <c r="AK85" s="229"/>
      <c r="AM85" s="87">
        <f t="shared" ref="AM85:AM89" si="4">IF(AH85&gt;I85,1,0)</f>
        <v>0</v>
      </c>
      <c r="AN85" s="87">
        <f>IF(OR($AR$85=0,$AR$87=2),0,IF(AH85&gt;$AR$85,1,0))</f>
        <v>0</v>
      </c>
      <c r="AO85" s="87">
        <f>IF(OR($AR$86=0,$AR$87=2),0,IF($AH85&gt;$AR$86,1,0))</f>
        <v>0</v>
      </c>
      <c r="AP85" s="94">
        <f>IF(AQ85="Yes",'Form 2A.1 - Design'!AM126,1)</f>
        <v>1</v>
      </c>
      <c r="AQ85" s="87" t="str">
        <f>'Form 2A.1 - Design'!AO126</f>
        <v>No</v>
      </c>
      <c r="AR85" s="89">
        <f>'Form 2A.1 - Design'!AN126</f>
        <v>0</v>
      </c>
      <c r="AS85" s="80" t="s">
        <v>291</v>
      </c>
      <c r="AT85" s="80"/>
    </row>
    <row r="86" spans="1:46" ht="14.55" customHeight="1" x14ac:dyDescent="0.3">
      <c r="C86" s="203">
        <f>Tables!$F$18</f>
        <v>9.26</v>
      </c>
      <c r="D86" s="203"/>
      <c r="G86" s="2" t="str">
        <f>Tables!$D$18</f>
        <v>(10-yr)</v>
      </c>
      <c r="H86" s="13"/>
      <c r="I86" s="228">
        <f>'Form 2A.1 - Design'!I110</f>
        <v>0</v>
      </c>
      <c r="J86" s="228"/>
      <c r="K86" s="228"/>
      <c r="L86" s="18"/>
      <c r="M86" s="229">
        <f>'Form 2A.1 - Design'!M110</f>
        <v>0</v>
      </c>
      <c r="N86" s="229"/>
      <c r="O86" s="229"/>
      <c r="Q86" s="229">
        <f>'Form 2A.1 - Design'!Q110</f>
        <v>0</v>
      </c>
      <c r="R86" s="229"/>
      <c r="S86" s="229"/>
      <c r="U86" s="229">
        <f>'Form 2A.1 - Design'!U110</f>
        <v>0</v>
      </c>
      <c r="V86" s="229"/>
      <c r="W86" s="229"/>
      <c r="Y86" s="218">
        <f>'Form 2A.1 - Design'!Y110</f>
        <v>0</v>
      </c>
      <c r="Z86" s="218"/>
      <c r="AA86" s="218"/>
      <c r="AB86" s="218"/>
      <c r="AH86" s="229">
        <f>'Form 2A.1 - Design'!AG110</f>
        <v>0</v>
      </c>
      <c r="AI86" s="229"/>
      <c r="AJ86" s="229"/>
      <c r="AK86" s="229"/>
      <c r="AM86" s="87">
        <f t="shared" si="4"/>
        <v>0</v>
      </c>
      <c r="AN86" s="87">
        <f t="shared" ref="AN86:AN89" si="5">IF(OR($AR$85=0,$AR$87=2),0,IF(AH86&gt;$AR$85,1,0))</f>
        <v>0</v>
      </c>
      <c r="AO86" s="87">
        <f t="shared" ref="AO86:AO89" si="6">IF(OR($AR$86=0,$AR$87=2),0,IF($AH86&gt;$AR$86,1,0))</f>
        <v>0</v>
      </c>
      <c r="AP86" s="94">
        <f>IF(AQ86="Yes",'Form 2A.1 - Design'!AM128,1)</f>
        <v>1</v>
      </c>
      <c r="AQ86" s="87" t="str">
        <f>'Form 2A.1 - Design'!AO128</f>
        <v>No</v>
      </c>
      <c r="AR86" s="89">
        <f>'Form 2A.1 - Design'!AN128</f>
        <v>0</v>
      </c>
      <c r="AS86" s="42" t="s">
        <v>307</v>
      </c>
      <c r="AT86" s="42"/>
    </row>
    <row r="87" spans="1:46" ht="14.55" customHeight="1" x14ac:dyDescent="0.3">
      <c r="C87" s="203">
        <f>Tables!$F$19</f>
        <v>11.7</v>
      </c>
      <c r="D87" s="203"/>
      <c r="G87" s="2" t="str">
        <f>Tables!$D$19</f>
        <v>(25-yr)</v>
      </c>
      <c r="H87" s="13"/>
      <c r="I87" s="228">
        <f>'Form 2A.1 - Design'!I111</f>
        <v>0</v>
      </c>
      <c r="J87" s="228"/>
      <c r="K87" s="228"/>
      <c r="L87" s="18"/>
      <c r="M87" s="229">
        <f>'Form 2A.1 - Design'!M111</f>
        <v>0</v>
      </c>
      <c r="N87" s="229"/>
      <c r="O87" s="229"/>
      <c r="Q87" s="229">
        <f>'Form 2A.1 - Design'!Q111</f>
        <v>0</v>
      </c>
      <c r="R87" s="229"/>
      <c r="S87" s="229"/>
      <c r="U87" s="229">
        <f>'Form 2A.1 - Design'!U111</f>
        <v>0</v>
      </c>
      <c r="V87" s="229"/>
      <c r="W87" s="229"/>
      <c r="Y87" s="218">
        <f>'Form 2A.1 - Design'!Y111</f>
        <v>0</v>
      </c>
      <c r="Z87" s="218"/>
      <c r="AA87" s="218"/>
      <c r="AB87" s="218"/>
      <c r="AH87" s="229">
        <f>'Form 2A.1 - Design'!AG111</f>
        <v>0</v>
      </c>
      <c r="AI87" s="229"/>
      <c r="AJ87" s="229"/>
      <c r="AK87" s="229"/>
      <c r="AM87" s="87">
        <f t="shared" si="4"/>
        <v>0</v>
      </c>
      <c r="AN87" s="87">
        <f t="shared" si="5"/>
        <v>0</v>
      </c>
      <c r="AO87" s="87">
        <f t="shared" si="6"/>
        <v>0</v>
      </c>
      <c r="AR87" s="87">
        <f>'Form 2A.1 - Design'!AN144</f>
        <v>1</v>
      </c>
      <c r="AS87" s="42" t="s">
        <v>352</v>
      </c>
      <c r="AT87" s="42"/>
    </row>
    <row r="88" spans="1:46" ht="14.55" customHeight="1" x14ac:dyDescent="0.3">
      <c r="C88" s="203">
        <f>Tables!$F$20</f>
        <v>13.9</v>
      </c>
      <c r="D88" s="203"/>
      <c r="G88" s="2" t="str">
        <f>Tables!$D$20</f>
        <v>(50-yr)</v>
      </c>
      <c r="H88" s="13"/>
      <c r="I88" s="228">
        <f>'Form 2A.1 - Design'!I112</f>
        <v>0</v>
      </c>
      <c r="J88" s="228"/>
      <c r="K88" s="228"/>
      <c r="L88" s="18"/>
      <c r="M88" s="229">
        <f>'Form 2A.1 - Design'!M112</f>
        <v>0</v>
      </c>
      <c r="N88" s="229"/>
      <c r="O88" s="229"/>
      <c r="Q88" s="229">
        <f>'Form 2A.1 - Design'!Q112</f>
        <v>0</v>
      </c>
      <c r="R88" s="229"/>
      <c r="S88" s="229"/>
      <c r="U88" s="229">
        <f>'Form 2A.1 - Design'!U112</f>
        <v>0</v>
      </c>
      <c r="V88" s="229"/>
      <c r="W88" s="229"/>
      <c r="Y88" s="218">
        <f>'Form 2A.1 - Design'!Y112</f>
        <v>0</v>
      </c>
      <c r="Z88" s="218"/>
      <c r="AA88" s="218"/>
      <c r="AB88" s="218"/>
      <c r="AH88" s="229">
        <f>'Form 2A.1 - Design'!AG112</f>
        <v>0</v>
      </c>
      <c r="AI88" s="229"/>
      <c r="AJ88" s="229"/>
      <c r="AK88" s="229"/>
      <c r="AM88" s="87">
        <f t="shared" si="4"/>
        <v>0</v>
      </c>
      <c r="AN88" s="87">
        <f t="shared" si="5"/>
        <v>0</v>
      </c>
      <c r="AO88" s="87">
        <f t="shared" si="6"/>
        <v>0</v>
      </c>
    </row>
    <row r="89" spans="1:46" ht="14.55" customHeight="1" x14ac:dyDescent="0.3">
      <c r="C89" s="203">
        <f>Tables!$F$21</f>
        <v>16.3</v>
      </c>
      <c r="D89" s="203"/>
      <c r="G89" s="2" t="str">
        <f>Tables!$D$21</f>
        <v>(100-yr)</v>
      </c>
      <c r="H89" s="13"/>
      <c r="I89" s="228">
        <f>'Form 2A.1 - Design'!I113</f>
        <v>0</v>
      </c>
      <c r="J89" s="228"/>
      <c r="K89" s="228"/>
      <c r="L89" s="18"/>
      <c r="M89" s="229">
        <f>'Form 2A.1 - Design'!M113</f>
        <v>0</v>
      </c>
      <c r="N89" s="229"/>
      <c r="O89" s="229"/>
      <c r="Q89" s="229">
        <f>'Form 2A.1 - Design'!Q113</f>
        <v>0</v>
      </c>
      <c r="R89" s="229"/>
      <c r="S89" s="229"/>
      <c r="U89" s="229">
        <f>'Form 2A.1 - Design'!U113</f>
        <v>0</v>
      </c>
      <c r="V89" s="229"/>
      <c r="W89" s="229"/>
      <c r="Y89" s="218">
        <f>'Form 2A.1 - Design'!Y113</f>
        <v>0</v>
      </c>
      <c r="Z89" s="218"/>
      <c r="AA89" s="218"/>
      <c r="AB89" s="218"/>
      <c r="AD89" s="218">
        <f>'Form 2A.1 - Design'!AC113</f>
        <v>0</v>
      </c>
      <c r="AE89" s="218"/>
      <c r="AF89" s="218"/>
      <c r="AH89" s="229">
        <f>'Form 2A.1 - Design'!AG113</f>
        <v>0</v>
      </c>
      <c r="AI89" s="229"/>
      <c r="AJ89" s="229"/>
      <c r="AK89" s="229"/>
      <c r="AM89" s="87">
        <f t="shared" si="4"/>
        <v>0</v>
      </c>
      <c r="AN89" s="87">
        <f t="shared" si="5"/>
        <v>0</v>
      </c>
      <c r="AO89" s="87">
        <f t="shared" si="6"/>
        <v>0</v>
      </c>
    </row>
    <row r="90" spans="1:46" ht="4.95" customHeight="1" x14ac:dyDescent="0.3">
      <c r="G90" s="2"/>
      <c r="L90" s="2"/>
      <c r="M90" s="2"/>
      <c r="O90" s="18"/>
      <c r="Q90" s="18"/>
      <c r="S90" s="8"/>
      <c r="U90" s="8"/>
      <c r="Y90" s="8"/>
      <c r="Z90" s="8"/>
      <c r="AB90" s="8"/>
      <c r="AD90" s="8"/>
      <c r="AE90" s="8"/>
      <c r="AG90" s="8"/>
      <c r="AH90" s="8"/>
      <c r="AI90" s="8"/>
      <c r="AK90" s="8"/>
      <c r="AL90" s="8"/>
      <c r="AM90" s="108"/>
      <c r="AN90" s="109"/>
      <c r="AO90" s="110"/>
    </row>
    <row r="91" spans="1:46" ht="30" customHeight="1" x14ac:dyDescent="0.3">
      <c r="B91" s="1" t="s">
        <v>51</v>
      </c>
      <c r="G91" s="1"/>
      <c r="H91" s="1"/>
      <c r="I91" s="223" t="s">
        <v>120</v>
      </c>
      <c r="J91" s="223"/>
      <c r="K91" s="223"/>
      <c r="L91" s="114"/>
      <c r="M91" s="223" t="s">
        <v>121</v>
      </c>
      <c r="N91" s="223"/>
      <c r="O91" s="223"/>
      <c r="Q91" s="223" t="s">
        <v>122</v>
      </c>
      <c r="R91" s="223"/>
      <c r="S91" s="223"/>
      <c r="U91" s="223" t="s">
        <v>199</v>
      </c>
      <c r="V91" s="223"/>
      <c r="W91" s="223"/>
      <c r="Y91" s="223" t="s">
        <v>348</v>
      </c>
      <c r="Z91" s="223"/>
      <c r="AA91" s="223"/>
      <c r="AB91" s="223"/>
      <c r="AD91" s="223" t="s">
        <v>347</v>
      </c>
      <c r="AE91" s="223"/>
      <c r="AF91" s="223"/>
      <c r="AG91" s="86"/>
      <c r="AH91" s="223" t="s">
        <v>123</v>
      </c>
      <c r="AI91" s="223"/>
      <c r="AJ91" s="223"/>
      <c r="AK91" s="223"/>
      <c r="AM91" s="87">
        <f t="shared" ref="AM91:AS91" si="7">SUM(AM92:AM97)</f>
        <v>6</v>
      </c>
      <c r="AN91" s="87">
        <f t="shared" si="7"/>
        <v>6</v>
      </c>
      <c r="AO91" s="87">
        <f>SUM(AO92:AO96)</f>
        <v>5</v>
      </c>
      <c r="AP91" s="87">
        <f>AP97</f>
        <v>1</v>
      </c>
      <c r="AQ91" s="87">
        <f t="shared" si="7"/>
        <v>0</v>
      </c>
      <c r="AR91" s="87">
        <f t="shared" si="7"/>
        <v>0</v>
      </c>
      <c r="AS91" s="87">
        <f t="shared" si="7"/>
        <v>6</v>
      </c>
      <c r="AT91" s="87">
        <f>SUM(AT92:AT97)</f>
        <v>6</v>
      </c>
    </row>
    <row r="92" spans="1:46" ht="14.55" customHeight="1" x14ac:dyDescent="0.3">
      <c r="C92" s="203">
        <f>Tables!$F$16</f>
        <v>6.02</v>
      </c>
      <c r="D92" s="203"/>
      <c r="G92" s="2" t="str">
        <f>Tables!$D$16</f>
        <v>(2-yr)</v>
      </c>
      <c r="H92" s="13"/>
      <c r="I92" s="173"/>
      <c r="J92" s="173"/>
      <c r="K92" s="173"/>
      <c r="L92" s="8"/>
      <c r="M92" s="173"/>
      <c r="N92" s="173"/>
      <c r="O92" s="173"/>
      <c r="Q92" s="173"/>
      <c r="R92" s="173"/>
      <c r="S92" s="173"/>
      <c r="U92" s="173"/>
      <c r="V92" s="173"/>
      <c r="W92" s="173"/>
      <c r="Y92" s="173"/>
      <c r="Z92" s="173"/>
      <c r="AA92" s="173"/>
      <c r="AB92" s="173"/>
      <c r="AH92" s="173"/>
      <c r="AI92" s="173"/>
      <c r="AJ92" s="173"/>
      <c r="AK92" s="173"/>
      <c r="AM92" s="87">
        <f t="shared" ref="AM92:AM97" si="8">IF(ISBLANK(I92),1,IF(I92=I84,0,1))</f>
        <v>1</v>
      </c>
      <c r="AN92" s="87">
        <f t="shared" ref="AN92:AN97" si="9">IF(ISBLANK(M92),1,IF(M92=M84,0,1))</f>
        <v>1</v>
      </c>
      <c r="AO92" s="87">
        <f>IF(ISBLANK(U92),1,IF(U92&gt;Y$47,1,0))</f>
        <v>1</v>
      </c>
      <c r="AP92" s="158"/>
      <c r="AQ92" s="87">
        <f>IF(OR($AR$85=0,$AR$87=2),0,IF($AH92&gt;$AR$85,1,0))</f>
        <v>0</v>
      </c>
      <c r="AR92" s="87">
        <f>IF(OR($AR$86=0,$AR$87=2),0,IF($AH92&gt;$AR$86,1,0))</f>
        <v>0</v>
      </c>
      <c r="AS92" s="87">
        <f t="shared" ref="AS92:AS97" si="10">IF(ISBLANK(AH92),1,IF(AH92&gt;I92,1,0))</f>
        <v>1</v>
      </c>
      <c r="AT92" s="87">
        <f t="shared" ref="AT92:AT97" si="11">IF(ISBLANK(Y92),1,IF(Y92&gt;$AP$82,1,0))</f>
        <v>1</v>
      </c>
    </row>
    <row r="93" spans="1:46" ht="14.55" customHeight="1" x14ac:dyDescent="0.3">
      <c r="C93" s="203">
        <f>Tables!$F$17</f>
        <v>7.68</v>
      </c>
      <c r="D93" s="203"/>
      <c r="G93" s="2" t="str">
        <f>Tables!$D$17</f>
        <v>(5-yr)</v>
      </c>
      <c r="H93" s="13"/>
      <c r="I93" s="170"/>
      <c r="J93" s="170"/>
      <c r="K93" s="170"/>
      <c r="L93" s="8"/>
      <c r="M93" s="170"/>
      <c r="N93" s="170"/>
      <c r="O93" s="170"/>
      <c r="Q93" s="170"/>
      <c r="R93" s="170"/>
      <c r="S93" s="170"/>
      <c r="U93" s="170"/>
      <c r="V93" s="170"/>
      <c r="W93" s="170"/>
      <c r="Y93" s="173"/>
      <c r="Z93" s="173"/>
      <c r="AA93" s="173"/>
      <c r="AB93" s="173"/>
      <c r="AH93" s="170"/>
      <c r="AI93" s="170"/>
      <c r="AJ93" s="170"/>
      <c r="AK93" s="170"/>
      <c r="AM93" s="87">
        <f t="shared" si="8"/>
        <v>1</v>
      </c>
      <c r="AN93" s="87">
        <f t="shared" si="9"/>
        <v>1</v>
      </c>
      <c r="AO93" s="87">
        <f>IF(ISBLANK(U93),1,IF(U93&gt;Y$47,1,0))</f>
        <v>1</v>
      </c>
      <c r="AP93" s="159"/>
      <c r="AQ93" s="87">
        <f t="shared" ref="AQ93:AQ97" si="12">IF(OR($AR$85=0,$AR$87=2),0,IF($AH93&gt;$AR$85,1,0))</f>
        <v>0</v>
      </c>
      <c r="AR93" s="87">
        <f t="shared" ref="AR93:AR97" si="13">IF(OR($AR$86=0,$AR$87=2),0,IF($AH93&gt;$AR$86,1,0))</f>
        <v>0</v>
      </c>
      <c r="AS93" s="87">
        <f t="shared" si="10"/>
        <v>1</v>
      </c>
      <c r="AT93" s="87">
        <f t="shared" si="11"/>
        <v>1</v>
      </c>
    </row>
    <row r="94" spans="1:46" ht="14.55" customHeight="1" x14ac:dyDescent="0.3">
      <c r="C94" s="203">
        <f>Tables!$F$18</f>
        <v>9.26</v>
      </c>
      <c r="D94" s="203"/>
      <c r="G94" s="2" t="str">
        <f>Tables!$D$18</f>
        <v>(10-yr)</v>
      </c>
      <c r="H94" s="13"/>
      <c r="I94" s="170"/>
      <c r="J94" s="170"/>
      <c r="K94" s="170"/>
      <c r="L94" s="8"/>
      <c r="M94" s="170"/>
      <c r="N94" s="170"/>
      <c r="O94" s="170"/>
      <c r="Q94" s="170"/>
      <c r="R94" s="170"/>
      <c r="S94" s="170"/>
      <c r="U94" s="170"/>
      <c r="V94" s="170"/>
      <c r="W94" s="170"/>
      <c r="Y94" s="173"/>
      <c r="Z94" s="173"/>
      <c r="AA94" s="173"/>
      <c r="AB94" s="173"/>
      <c r="AH94" s="170"/>
      <c r="AI94" s="170"/>
      <c r="AJ94" s="170"/>
      <c r="AK94" s="170"/>
      <c r="AM94" s="87">
        <f t="shared" si="8"/>
        <v>1</v>
      </c>
      <c r="AN94" s="87">
        <f t="shared" si="9"/>
        <v>1</v>
      </c>
      <c r="AO94" s="87">
        <f>IF(ISBLANK(U94),1,IF(U94&gt;Y$47,1,0))</f>
        <v>1</v>
      </c>
      <c r="AP94" s="159"/>
      <c r="AQ94" s="87">
        <f t="shared" si="12"/>
        <v>0</v>
      </c>
      <c r="AR94" s="87">
        <f t="shared" si="13"/>
        <v>0</v>
      </c>
      <c r="AS94" s="87">
        <f t="shared" si="10"/>
        <v>1</v>
      </c>
      <c r="AT94" s="87">
        <f t="shared" si="11"/>
        <v>1</v>
      </c>
    </row>
    <row r="95" spans="1:46" ht="14.55" customHeight="1" x14ac:dyDescent="0.3">
      <c r="C95" s="203">
        <f>Tables!$F$19</f>
        <v>11.7</v>
      </c>
      <c r="D95" s="203"/>
      <c r="G95" s="2" t="str">
        <f>Tables!$D$19</f>
        <v>(25-yr)</v>
      </c>
      <c r="H95" s="13"/>
      <c r="I95" s="170"/>
      <c r="J95" s="170"/>
      <c r="K95" s="170"/>
      <c r="L95" s="8"/>
      <c r="M95" s="170"/>
      <c r="N95" s="170"/>
      <c r="O95" s="170"/>
      <c r="Q95" s="170"/>
      <c r="R95" s="170"/>
      <c r="S95" s="170"/>
      <c r="U95" s="170"/>
      <c r="V95" s="170"/>
      <c r="W95" s="170"/>
      <c r="Y95" s="173"/>
      <c r="Z95" s="173"/>
      <c r="AA95" s="173"/>
      <c r="AB95" s="173"/>
      <c r="AH95" s="170"/>
      <c r="AI95" s="170"/>
      <c r="AJ95" s="170"/>
      <c r="AK95" s="170"/>
      <c r="AM95" s="87">
        <f t="shared" si="8"/>
        <v>1</v>
      </c>
      <c r="AN95" s="87">
        <f t="shared" si="9"/>
        <v>1</v>
      </c>
      <c r="AO95" s="87">
        <f>IF(ISBLANK(U95),1,IF(U95&gt;Y$47,1,0))</f>
        <v>1</v>
      </c>
      <c r="AP95" s="159"/>
      <c r="AQ95" s="87">
        <f t="shared" si="12"/>
        <v>0</v>
      </c>
      <c r="AR95" s="87">
        <f t="shared" si="13"/>
        <v>0</v>
      </c>
      <c r="AS95" s="87">
        <f t="shared" si="10"/>
        <v>1</v>
      </c>
      <c r="AT95" s="87">
        <f t="shared" si="11"/>
        <v>1</v>
      </c>
    </row>
    <row r="96" spans="1:46" ht="14.55" customHeight="1" x14ac:dyDescent="0.3">
      <c r="C96" s="203">
        <f>Tables!$F$20</f>
        <v>13.9</v>
      </c>
      <c r="D96" s="203"/>
      <c r="G96" s="2" t="str">
        <f>Tables!$D$20</f>
        <v>(50-yr)</v>
      </c>
      <c r="H96" s="13"/>
      <c r="I96" s="170"/>
      <c r="J96" s="170"/>
      <c r="K96" s="170"/>
      <c r="L96" s="8"/>
      <c r="M96" s="170"/>
      <c r="N96" s="170"/>
      <c r="O96" s="170"/>
      <c r="Q96" s="170"/>
      <c r="R96" s="170"/>
      <c r="S96" s="170"/>
      <c r="U96" s="170"/>
      <c r="V96" s="170"/>
      <c r="W96" s="170"/>
      <c r="Y96" s="173"/>
      <c r="Z96" s="173"/>
      <c r="AA96" s="173"/>
      <c r="AB96" s="173"/>
      <c r="AH96" s="170"/>
      <c r="AI96" s="170"/>
      <c r="AJ96" s="170"/>
      <c r="AK96" s="170"/>
      <c r="AM96" s="87">
        <f t="shared" si="8"/>
        <v>1</v>
      </c>
      <c r="AN96" s="87">
        <f t="shared" si="9"/>
        <v>1</v>
      </c>
      <c r="AO96" s="87">
        <f>IF(ISBLANK(U96),1,IF(U96&gt;Y$47,1,0))</f>
        <v>1</v>
      </c>
      <c r="AP96" s="160"/>
      <c r="AQ96" s="87">
        <f t="shared" si="12"/>
        <v>0</v>
      </c>
      <c r="AR96" s="87">
        <f t="shared" si="13"/>
        <v>0</v>
      </c>
      <c r="AS96" s="87">
        <f t="shared" si="10"/>
        <v>1</v>
      </c>
      <c r="AT96" s="87">
        <f t="shared" si="11"/>
        <v>1</v>
      </c>
    </row>
    <row r="97" spans="2:48" ht="14.55" customHeight="1" x14ac:dyDescent="0.3">
      <c r="C97" s="203">
        <f>Tables!$F$21</f>
        <v>16.3</v>
      </c>
      <c r="D97" s="203"/>
      <c r="G97" s="2" t="str">
        <f>Tables!$D$21</f>
        <v>(100-yr)</v>
      </c>
      <c r="H97" s="13"/>
      <c r="I97" s="170"/>
      <c r="J97" s="170"/>
      <c r="K97" s="170"/>
      <c r="L97" s="8"/>
      <c r="M97" s="170"/>
      <c r="N97" s="170"/>
      <c r="O97" s="170"/>
      <c r="Q97" s="170"/>
      <c r="R97" s="170"/>
      <c r="S97" s="170"/>
      <c r="U97" s="170"/>
      <c r="V97" s="170"/>
      <c r="W97" s="170"/>
      <c r="Y97" s="173"/>
      <c r="Z97" s="173"/>
      <c r="AA97" s="173"/>
      <c r="AB97" s="173"/>
      <c r="AD97" s="173"/>
      <c r="AE97" s="173"/>
      <c r="AF97" s="173"/>
      <c r="AH97" s="170"/>
      <c r="AI97" s="170"/>
      <c r="AJ97" s="170"/>
      <c r="AK97" s="170"/>
      <c r="AM97" s="87">
        <f t="shared" si="8"/>
        <v>1</v>
      </c>
      <c r="AN97" s="87">
        <f t="shared" si="9"/>
        <v>1</v>
      </c>
      <c r="AO97" s="89">
        <f>IF(OR(ISBLANK(U97),ISBLANK($AH$47)),0,$AH$47-U97)</f>
        <v>0</v>
      </c>
      <c r="AP97" s="87">
        <f>IF(ISBLANK(AD97),1,IF(AD97&gt;$AP$82,1,0))</f>
        <v>1</v>
      </c>
      <c r="AQ97" s="87">
        <f t="shared" si="12"/>
        <v>0</v>
      </c>
      <c r="AR97" s="87">
        <f t="shared" si="13"/>
        <v>0</v>
      </c>
      <c r="AS97" s="87">
        <f t="shared" si="10"/>
        <v>1</v>
      </c>
      <c r="AT97" s="87">
        <f t="shared" si="11"/>
        <v>1</v>
      </c>
    </row>
    <row r="98" spans="2:48" ht="15" customHeight="1" x14ac:dyDescent="0.3">
      <c r="AM98" s="72" t="s">
        <v>145</v>
      </c>
      <c r="AN98" s="72" t="s">
        <v>146</v>
      </c>
      <c r="AO98" s="72" t="s">
        <v>68</v>
      </c>
      <c r="AP98" s="72" t="s">
        <v>191</v>
      </c>
      <c r="AQ98" s="72" t="s">
        <v>291</v>
      </c>
      <c r="AR98" s="72" t="s">
        <v>320</v>
      </c>
      <c r="AS98" s="72" t="s">
        <v>69</v>
      </c>
      <c r="AT98" s="72" t="s">
        <v>191</v>
      </c>
      <c r="AV98" s="4"/>
    </row>
    <row r="99" spans="2:48" ht="15" customHeight="1" x14ac:dyDescent="0.3">
      <c r="AP99" s="72" t="s">
        <v>336</v>
      </c>
      <c r="AT99" s="72" t="s">
        <v>335</v>
      </c>
      <c r="AV99" s="4"/>
    </row>
    <row r="100" spans="2:48" ht="15" customHeight="1" x14ac:dyDescent="0.3">
      <c r="B100" s="216">
        <f>Tables!$F$13</f>
        <v>46266</v>
      </c>
      <c r="C100" s="216"/>
      <c r="D100" s="216"/>
      <c r="E100" s="216"/>
      <c r="F100" s="216"/>
      <c r="G100" s="216"/>
      <c r="H100" s="216"/>
      <c r="I100" s="68"/>
      <c r="R100" s="187" t="s">
        <v>250</v>
      </c>
      <c r="S100" s="187"/>
      <c r="T100" s="187"/>
      <c r="U100" s="187"/>
      <c r="AV100" s="4"/>
    </row>
    <row r="101" spans="2:48" ht="15" customHeight="1" x14ac:dyDescent="0.3">
      <c r="C101" s="2" t="s">
        <v>1</v>
      </c>
      <c r="D101" s="171">
        <f>IF(ISBLANK($E$7),"",$E$7)</f>
        <v>0</v>
      </c>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c r="AF101" s="2" t="s">
        <v>18</v>
      </c>
      <c r="AG101" s="172">
        <f>IF(ISBLANK($AF$7),0,$AF$7)</f>
        <v>0</v>
      </c>
      <c r="AH101" s="172"/>
      <c r="AI101" s="172"/>
      <c r="AJ101" s="172"/>
      <c r="AK101" s="172"/>
    </row>
    <row r="102" spans="2:48" ht="15" customHeight="1" x14ac:dyDescent="0.3">
      <c r="F102" s="3"/>
      <c r="G102" s="3"/>
      <c r="H102" s="3"/>
      <c r="I102" s="3"/>
      <c r="J102" s="3"/>
      <c r="K102" s="2"/>
      <c r="L102" s="2"/>
      <c r="M102" s="2"/>
      <c r="N102" s="2"/>
      <c r="O102" s="3"/>
      <c r="P102" s="8"/>
      <c r="Q102" s="8"/>
      <c r="R102" s="8"/>
      <c r="S102" s="8"/>
      <c r="T102" s="8"/>
      <c r="U102" s="8"/>
      <c r="V102" s="8"/>
      <c r="W102" s="8"/>
      <c r="X102" s="8"/>
      <c r="Y102" s="8"/>
      <c r="Z102" s="8"/>
      <c r="AA102" s="8"/>
      <c r="AB102" s="8"/>
      <c r="AC102" s="8"/>
      <c r="AD102" s="8"/>
      <c r="AE102" s="8"/>
      <c r="AF102" s="2" t="s">
        <v>31</v>
      </c>
      <c r="AG102" s="169">
        <f>IF(ISBLANK($AF$8),"",$AF$8)</f>
        <v>0</v>
      </c>
      <c r="AH102" s="169"/>
      <c r="AI102" s="169"/>
      <c r="AJ102" s="169"/>
      <c r="AK102" s="169"/>
    </row>
    <row r="103" spans="2:48" ht="15" customHeight="1" x14ac:dyDescent="0.3">
      <c r="B103" s="9" t="s">
        <v>19</v>
      </c>
      <c r="C103" s="9"/>
      <c r="D103" s="9"/>
      <c r="E103" s="9"/>
    </row>
    <row r="104" spans="2:48" ht="15" customHeight="1" x14ac:dyDescent="0.3">
      <c r="B104" s="174"/>
      <c r="C104" s="175"/>
      <c r="D104" s="175"/>
      <c r="E104" s="175"/>
      <c r="F104" s="175"/>
      <c r="G104" s="175"/>
      <c r="H104" s="175"/>
      <c r="I104" s="175"/>
      <c r="J104" s="175"/>
      <c r="K104" s="175"/>
      <c r="L104" s="175"/>
      <c r="M104" s="175"/>
      <c r="N104" s="175"/>
      <c r="O104" s="175"/>
      <c r="P104" s="175"/>
      <c r="Q104" s="175"/>
      <c r="R104" s="175"/>
      <c r="S104" s="175"/>
      <c r="T104" s="175"/>
      <c r="U104" s="175"/>
      <c r="V104" s="175"/>
      <c r="W104" s="175"/>
      <c r="X104" s="175"/>
      <c r="Y104" s="175"/>
      <c r="Z104" s="175"/>
      <c r="AA104" s="175"/>
      <c r="AB104" s="175"/>
      <c r="AC104" s="175"/>
      <c r="AD104" s="175"/>
      <c r="AE104" s="175"/>
      <c r="AF104" s="175"/>
      <c r="AG104" s="175"/>
      <c r="AH104" s="175"/>
      <c r="AI104" s="175"/>
      <c r="AJ104" s="175"/>
      <c r="AK104" s="176"/>
    </row>
    <row r="105" spans="2:48" ht="15" customHeight="1" x14ac:dyDescent="0.3">
      <c r="B105" s="177"/>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78"/>
      <c r="AK105" s="179"/>
    </row>
    <row r="106" spans="2:48" ht="15" customHeight="1" x14ac:dyDescent="0.3">
      <c r="B106" s="177"/>
      <c r="C106" s="178"/>
      <c r="D106" s="178"/>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8"/>
      <c r="AI106" s="178"/>
      <c r="AJ106" s="178"/>
      <c r="AK106" s="179"/>
    </row>
    <row r="107" spans="2:48" ht="15" customHeight="1" x14ac:dyDescent="0.3">
      <c r="B107" s="177"/>
      <c r="C107" s="178"/>
      <c r="D107" s="178"/>
      <c r="E107" s="178"/>
      <c r="F107" s="178"/>
      <c r="G107" s="178"/>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c r="AE107" s="178"/>
      <c r="AF107" s="178"/>
      <c r="AG107" s="178"/>
      <c r="AH107" s="178"/>
      <c r="AI107" s="178"/>
      <c r="AJ107" s="178"/>
      <c r="AK107" s="179"/>
    </row>
    <row r="108" spans="2:48" ht="15" customHeight="1" x14ac:dyDescent="0.3">
      <c r="B108" s="177"/>
      <c r="C108" s="178"/>
      <c r="D108" s="178"/>
      <c r="E108" s="178"/>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8"/>
      <c r="AI108" s="178"/>
      <c r="AJ108" s="178"/>
      <c r="AK108" s="179"/>
    </row>
    <row r="109" spans="2:48" ht="15" customHeight="1" x14ac:dyDescent="0.3">
      <c r="B109" s="177"/>
      <c r="C109" s="178"/>
      <c r="D109" s="178"/>
      <c r="E109" s="178"/>
      <c r="F109" s="178"/>
      <c r="G109" s="178"/>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E109" s="178"/>
      <c r="AF109" s="178"/>
      <c r="AG109" s="178"/>
      <c r="AH109" s="178"/>
      <c r="AI109" s="178"/>
      <c r="AJ109" s="178"/>
      <c r="AK109" s="179"/>
    </row>
    <row r="110" spans="2:48" ht="15" customHeight="1" x14ac:dyDescent="0.3">
      <c r="B110" s="177"/>
      <c r="C110" s="178"/>
      <c r="D110" s="178"/>
      <c r="E110" s="178"/>
      <c r="F110" s="178"/>
      <c r="G110" s="178"/>
      <c r="H110" s="178"/>
      <c r="I110" s="178"/>
      <c r="J110" s="178"/>
      <c r="K110" s="178"/>
      <c r="L110" s="178"/>
      <c r="M110" s="178"/>
      <c r="N110" s="178"/>
      <c r="O110" s="178"/>
      <c r="P110" s="178"/>
      <c r="Q110" s="178"/>
      <c r="R110" s="178"/>
      <c r="S110" s="178"/>
      <c r="T110" s="178"/>
      <c r="U110" s="178"/>
      <c r="V110" s="178"/>
      <c r="W110" s="178"/>
      <c r="X110" s="178"/>
      <c r="Y110" s="178"/>
      <c r="Z110" s="178"/>
      <c r="AA110" s="178"/>
      <c r="AB110" s="178"/>
      <c r="AC110" s="178"/>
      <c r="AD110" s="178"/>
      <c r="AE110" s="178"/>
      <c r="AF110" s="178"/>
      <c r="AG110" s="178"/>
      <c r="AH110" s="178"/>
      <c r="AI110" s="178"/>
      <c r="AJ110" s="178"/>
      <c r="AK110" s="179"/>
    </row>
    <row r="111" spans="2:48" ht="15" customHeight="1" x14ac:dyDescent="0.3">
      <c r="B111" s="177"/>
      <c r="C111" s="178"/>
      <c r="D111" s="178"/>
      <c r="E111" s="178"/>
      <c r="F111" s="178"/>
      <c r="G111" s="178"/>
      <c r="H111" s="178"/>
      <c r="I111" s="178"/>
      <c r="J111" s="178"/>
      <c r="K111" s="178"/>
      <c r="L111" s="178"/>
      <c r="M111" s="178"/>
      <c r="N111" s="178"/>
      <c r="O111" s="178"/>
      <c r="P111" s="178"/>
      <c r="Q111" s="178"/>
      <c r="R111" s="178"/>
      <c r="S111" s="178"/>
      <c r="T111" s="178"/>
      <c r="U111" s="178"/>
      <c r="V111" s="178"/>
      <c r="W111" s="178"/>
      <c r="X111" s="178"/>
      <c r="Y111" s="178"/>
      <c r="Z111" s="178"/>
      <c r="AA111" s="178"/>
      <c r="AB111" s="178"/>
      <c r="AC111" s="178"/>
      <c r="AD111" s="178"/>
      <c r="AE111" s="178"/>
      <c r="AF111" s="178"/>
      <c r="AG111" s="178"/>
      <c r="AH111" s="178"/>
      <c r="AI111" s="178"/>
      <c r="AJ111" s="178"/>
      <c r="AK111" s="179"/>
    </row>
    <row r="112" spans="2:48" ht="15" customHeight="1" x14ac:dyDescent="0.3">
      <c r="B112" s="177"/>
      <c r="C112" s="178"/>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8"/>
      <c r="AJ112" s="178"/>
      <c r="AK112" s="179"/>
    </row>
    <row r="113" spans="2:40" ht="15" customHeight="1" x14ac:dyDescent="0.3">
      <c r="B113" s="180"/>
      <c r="C113" s="181"/>
      <c r="D113" s="181"/>
      <c r="E113" s="181"/>
      <c r="F113" s="181"/>
      <c r="G113" s="181"/>
      <c r="H113" s="181"/>
      <c r="I113" s="181"/>
      <c r="J113" s="181"/>
      <c r="K113" s="181"/>
      <c r="L113" s="181"/>
      <c r="M113" s="181"/>
      <c r="N113" s="181"/>
      <c r="O113" s="181"/>
      <c r="P113" s="181"/>
      <c r="Q113" s="181"/>
      <c r="R113" s="181"/>
      <c r="S113" s="181"/>
      <c r="T113" s="181"/>
      <c r="U113" s="181"/>
      <c r="V113" s="181"/>
      <c r="W113" s="181"/>
      <c r="X113" s="181"/>
      <c r="Y113" s="181"/>
      <c r="Z113" s="181"/>
      <c r="AA113" s="181"/>
      <c r="AB113" s="181"/>
      <c r="AC113" s="181"/>
      <c r="AD113" s="181"/>
      <c r="AE113" s="181"/>
      <c r="AF113" s="181"/>
      <c r="AG113" s="181"/>
      <c r="AH113" s="181"/>
      <c r="AI113" s="181"/>
      <c r="AJ113" s="181"/>
      <c r="AK113" s="182"/>
    </row>
    <row r="114" spans="2:40" ht="15" customHeight="1" x14ac:dyDescent="0.3">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row>
    <row r="115" spans="2:40" ht="15" customHeight="1" x14ac:dyDescent="0.3">
      <c r="B115" s="1" t="s">
        <v>127</v>
      </c>
      <c r="C115" s="1"/>
      <c r="D115" s="1"/>
      <c r="E115" s="1"/>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row>
    <row r="116" spans="2:40" ht="15" customHeight="1" x14ac:dyDescent="0.3">
      <c r="B116" s="1"/>
      <c r="C116" s="1"/>
      <c r="D116" s="1"/>
      <c r="E116" s="2" t="s">
        <v>160</v>
      </c>
      <c r="F116" s="199"/>
      <c r="G116" s="199"/>
      <c r="H116" s="199"/>
      <c r="I116" s="199"/>
      <c r="J116" s="199"/>
      <c r="K116" s="199"/>
      <c r="L116" s="199"/>
      <c r="M116" s="199"/>
      <c r="N116" s="199"/>
      <c r="O116" s="199"/>
      <c r="P116" s="199"/>
      <c r="Q116" s="199"/>
      <c r="R116" s="199"/>
      <c r="S116" s="199"/>
      <c r="T116" s="199"/>
      <c r="U116" s="199"/>
      <c r="V116" s="199"/>
      <c r="W116" s="6"/>
      <c r="X116" s="6"/>
      <c r="Y116" s="6"/>
      <c r="Z116" s="6"/>
      <c r="AA116" s="6"/>
      <c r="AB116" s="6"/>
      <c r="AC116" s="6"/>
      <c r="AD116" s="6"/>
      <c r="AE116" s="6"/>
      <c r="AF116" s="6"/>
      <c r="AG116" s="6"/>
      <c r="AH116" s="6"/>
      <c r="AI116" s="6"/>
      <c r="AJ116" s="6"/>
      <c r="AK116" s="6"/>
      <c r="AL116" s="6"/>
    </row>
    <row r="117" spans="2:40" ht="15" customHeight="1" x14ac:dyDescent="0.3">
      <c r="C117" s="2"/>
      <c r="D117" s="2"/>
      <c r="E117" s="2" t="s">
        <v>130</v>
      </c>
      <c r="F117" s="196"/>
      <c r="G117" s="196"/>
      <c r="H117" s="196"/>
      <c r="I117" s="196"/>
      <c r="J117" s="196"/>
      <c r="K117" s="196"/>
      <c r="L117" s="196"/>
      <c r="M117" s="196"/>
      <c r="N117" s="196"/>
      <c r="O117" s="196"/>
      <c r="P117" s="196"/>
      <c r="Q117" s="196"/>
      <c r="R117" s="196"/>
      <c r="S117" s="196"/>
      <c r="T117" s="196"/>
      <c r="U117" s="196"/>
      <c r="V117" s="196"/>
      <c r="W117" s="6"/>
      <c r="X117" s="6"/>
      <c r="Y117" s="6"/>
      <c r="Z117" s="6"/>
      <c r="AA117" s="6"/>
      <c r="AB117" s="6"/>
      <c r="AC117" s="6"/>
      <c r="AD117" s="6"/>
      <c r="AE117" s="6"/>
      <c r="AF117" s="6"/>
      <c r="AG117" s="6"/>
      <c r="AH117" s="6"/>
      <c r="AI117" s="6"/>
      <c r="AJ117" s="6"/>
      <c r="AK117" s="6"/>
      <c r="AL117" s="6"/>
    </row>
    <row r="118" spans="2:40" ht="15" customHeight="1" x14ac:dyDescent="0.3">
      <c r="C118" s="2"/>
      <c r="D118" s="2"/>
      <c r="E118" s="2" t="s">
        <v>202</v>
      </c>
      <c r="F118" s="196"/>
      <c r="G118" s="196"/>
      <c r="H118" s="196"/>
      <c r="I118" s="196"/>
      <c r="J118" s="196"/>
      <c r="K118" s="196"/>
      <c r="L118" s="196"/>
      <c r="M118" s="196"/>
      <c r="N118" s="196"/>
      <c r="O118" s="196"/>
      <c r="P118" s="196"/>
      <c r="Q118" s="196"/>
      <c r="R118" s="196"/>
      <c r="S118" s="196"/>
      <c r="T118" s="196"/>
      <c r="U118" s="196"/>
      <c r="V118" s="196"/>
      <c r="Y118" s="2" t="s">
        <v>133</v>
      </c>
      <c r="Z118" s="192"/>
      <c r="AA118" s="192"/>
      <c r="AB118" s="192"/>
      <c r="AC118" s="192"/>
      <c r="AD118" s="2"/>
      <c r="AG118" s="2" t="s">
        <v>134</v>
      </c>
      <c r="AH118" s="243"/>
      <c r="AI118" s="243"/>
      <c r="AJ118" s="243"/>
      <c r="AK118" s="243"/>
      <c r="AL118" s="2"/>
    </row>
    <row r="119" spans="2:40" ht="15" customHeight="1" x14ac:dyDescent="0.3">
      <c r="C119" s="2"/>
      <c r="D119" s="2"/>
      <c r="E119" s="2" t="s">
        <v>252</v>
      </c>
      <c r="F119" s="196"/>
      <c r="G119" s="196"/>
      <c r="H119" s="196"/>
      <c r="I119" s="196"/>
      <c r="J119" s="196"/>
      <c r="K119" s="196"/>
      <c r="L119" s="196"/>
      <c r="M119" s="196"/>
      <c r="N119" s="196"/>
      <c r="O119" s="196"/>
      <c r="P119" s="196"/>
      <c r="Q119" s="196"/>
      <c r="R119" s="196"/>
      <c r="S119" s="196"/>
      <c r="T119" s="196"/>
      <c r="U119" s="196"/>
      <c r="V119" s="196"/>
      <c r="Y119" s="2" t="s">
        <v>136</v>
      </c>
      <c r="Z119" s="199"/>
      <c r="AA119" s="199"/>
      <c r="AB119" s="199"/>
      <c r="AC119" s="199"/>
      <c r="AD119" s="199"/>
      <c r="AE119" s="199"/>
      <c r="AF119" s="199"/>
      <c r="AG119" s="199"/>
      <c r="AH119" s="199"/>
      <c r="AI119" s="199"/>
      <c r="AJ119" s="199"/>
      <c r="AK119" s="199"/>
      <c r="AL119" s="2"/>
    </row>
    <row r="120" spans="2:40" ht="15" customHeight="1" x14ac:dyDescent="0.3">
      <c r="C120" s="2"/>
      <c r="D120" s="2"/>
      <c r="E120" s="2" t="s">
        <v>131</v>
      </c>
      <c r="F120" s="227"/>
      <c r="G120" s="227"/>
      <c r="H120" s="227"/>
      <c r="I120" s="227"/>
      <c r="J120" s="227"/>
      <c r="K120" s="227"/>
      <c r="L120" s="227"/>
      <c r="M120" s="227"/>
      <c r="N120" s="227"/>
      <c r="O120" s="227"/>
      <c r="P120" s="227"/>
      <c r="Q120" s="227"/>
      <c r="R120" s="227"/>
      <c r="S120" s="227"/>
      <c r="T120" s="227"/>
      <c r="U120" s="227"/>
      <c r="V120" s="227"/>
      <c r="Y120" s="41"/>
      <c r="Z120" s="41"/>
      <c r="AA120" s="41"/>
      <c r="AB120" s="41"/>
      <c r="AC120" s="41"/>
      <c r="AF120" s="2" t="s">
        <v>135</v>
      </c>
      <c r="AG120" s="230"/>
      <c r="AH120" s="230"/>
      <c r="AI120" s="230"/>
      <c r="AJ120" s="230"/>
      <c r="AK120" s="230"/>
    </row>
    <row r="121" spans="2:40" ht="4.95" customHeight="1" x14ac:dyDescent="0.3">
      <c r="B121" s="2"/>
      <c r="C121" s="2"/>
      <c r="D121" s="2"/>
      <c r="E121" s="2"/>
      <c r="F121" s="49"/>
      <c r="G121" s="49"/>
      <c r="H121" s="49"/>
      <c r="I121" s="49"/>
      <c r="J121" s="49"/>
      <c r="K121" s="49"/>
      <c r="L121" s="49"/>
      <c r="M121" s="49"/>
      <c r="N121" s="49"/>
      <c r="O121" s="49"/>
      <c r="P121" s="49"/>
      <c r="Q121" s="49"/>
      <c r="R121" s="49"/>
      <c r="S121" s="49"/>
      <c r="T121" s="49"/>
      <c r="U121" s="49"/>
      <c r="V121" s="49"/>
      <c r="Y121" s="6"/>
      <c r="Z121" s="6"/>
      <c r="AA121" s="6"/>
      <c r="AB121" s="6"/>
      <c r="AC121" s="6"/>
      <c r="AD121" s="6"/>
      <c r="AI121" s="6"/>
      <c r="AJ121" s="2"/>
      <c r="AK121" s="6"/>
      <c r="AL121" s="6"/>
    </row>
    <row r="122" spans="2:40" ht="15" customHeight="1" x14ac:dyDescent="0.3">
      <c r="B122" s="1" t="s">
        <v>192</v>
      </c>
      <c r="C122" s="1"/>
      <c r="D122" s="1"/>
      <c r="E122" s="1"/>
      <c r="F122" s="6"/>
      <c r="G122" s="6"/>
      <c r="H122" s="6"/>
      <c r="I122" s="6"/>
      <c r="J122" s="6"/>
      <c r="K122" s="6"/>
      <c r="L122" s="6"/>
      <c r="M122" s="6"/>
      <c r="N122" s="6"/>
      <c r="O122" s="6"/>
      <c r="P122" s="6"/>
      <c r="Q122" s="6"/>
      <c r="R122" s="6"/>
      <c r="S122" s="6"/>
      <c r="T122" s="6"/>
      <c r="U122" s="6"/>
      <c r="V122" s="6"/>
      <c r="Z122" s="46"/>
      <c r="AA122" s="4" t="s">
        <v>128</v>
      </c>
      <c r="AB122" s="6"/>
      <c r="AC122" s="6"/>
      <c r="AI122" s="6"/>
      <c r="AM122" s="87">
        <f>IF(AND(ISBLANK(F123),ISBLANK(F124),ISBLANK(F125),ISBLANK(Z125),ISBLANK(AH125)),1,2)</f>
        <v>1</v>
      </c>
      <c r="AN122" s="87">
        <f>IF(ISBLANK(Z122),1,2)</f>
        <v>1</v>
      </c>
    </row>
    <row r="123" spans="2:40" ht="15" customHeight="1" x14ac:dyDescent="0.3">
      <c r="C123" s="2"/>
      <c r="D123" s="2"/>
      <c r="E123" s="2" t="s">
        <v>132</v>
      </c>
      <c r="F123" s="199"/>
      <c r="G123" s="199"/>
      <c r="H123" s="199"/>
      <c r="I123" s="199"/>
      <c r="J123" s="199"/>
      <c r="K123" s="199"/>
      <c r="L123" s="199"/>
      <c r="M123" s="199"/>
      <c r="N123" s="199"/>
      <c r="O123" s="199"/>
      <c r="P123" s="199"/>
      <c r="Q123" s="199"/>
      <c r="R123" s="199"/>
      <c r="S123" s="199"/>
      <c r="T123" s="199"/>
      <c r="U123" s="199"/>
      <c r="V123" s="199"/>
    </row>
    <row r="124" spans="2:40" ht="15" customHeight="1" x14ac:dyDescent="0.3">
      <c r="C124" s="2"/>
      <c r="D124" s="2"/>
      <c r="E124" s="2" t="s">
        <v>130</v>
      </c>
      <c r="F124" s="196"/>
      <c r="G124" s="196"/>
      <c r="H124" s="196"/>
      <c r="I124" s="196"/>
      <c r="J124" s="196"/>
      <c r="K124" s="196"/>
      <c r="L124" s="196"/>
      <c r="M124" s="196"/>
      <c r="N124" s="196"/>
      <c r="O124" s="196"/>
      <c r="P124" s="196"/>
      <c r="Q124" s="196"/>
      <c r="R124" s="196"/>
      <c r="S124" s="196"/>
      <c r="T124" s="196"/>
      <c r="U124" s="196"/>
      <c r="V124" s="196"/>
      <c r="AK124" s="6"/>
      <c r="AL124" s="6"/>
    </row>
    <row r="125" spans="2:40" ht="15" customHeight="1" x14ac:dyDescent="0.3">
      <c r="C125" s="2"/>
      <c r="D125" s="2"/>
      <c r="E125" s="2" t="s">
        <v>202</v>
      </c>
      <c r="F125" s="196"/>
      <c r="G125" s="196"/>
      <c r="H125" s="196"/>
      <c r="I125" s="196"/>
      <c r="J125" s="196"/>
      <c r="K125" s="196"/>
      <c r="L125" s="196"/>
      <c r="M125" s="196"/>
      <c r="N125" s="196"/>
      <c r="O125" s="196"/>
      <c r="P125" s="196"/>
      <c r="Q125" s="196"/>
      <c r="R125" s="196"/>
      <c r="S125" s="196"/>
      <c r="T125" s="196"/>
      <c r="U125" s="196"/>
      <c r="V125" s="196"/>
      <c r="Y125" s="2" t="s">
        <v>133</v>
      </c>
      <c r="Z125" s="192"/>
      <c r="AA125" s="192"/>
      <c r="AB125" s="192"/>
      <c r="AC125" s="192"/>
      <c r="AD125" s="2"/>
      <c r="AG125" s="2" t="s">
        <v>134</v>
      </c>
      <c r="AH125" s="243"/>
      <c r="AI125" s="243"/>
      <c r="AJ125" s="243"/>
      <c r="AK125" s="243"/>
      <c r="AL125" s="2"/>
    </row>
    <row r="126" spans="2:40" ht="15" customHeight="1" x14ac:dyDescent="0.3">
      <c r="C126" s="2"/>
      <c r="D126" s="2"/>
      <c r="E126" s="2" t="s">
        <v>252</v>
      </c>
      <c r="F126" s="199"/>
      <c r="G126" s="199"/>
      <c r="H126" s="199"/>
      <c r="I126" s="199"/>
      <c r="J126" s="199"/>
      <c r="K126" s="199"/>
      <c r="L126" s="199"/>
      <c r="M126" s="199"/>
      <c r="N126" s="199"/>
      <c r="O126" s="199"/>
      <c r="P126" s="199"/>
      <c r="Q126" s="199"/>
      <c r="R126" s="199"/>
      <c r="S126" s="199"/>
      <c r="T126" s="199"/>
      <c r="U126" s="199"/>
      <c r="V126" s="199"/>
      <c r="W126" s="6"/>
      <c r="X126" s="6"/>
      <c r="Y126" s="2" t="s">
        <v>136</v>
      </c>
      <c r="Z126" s="199"/>
      <c r="AA126" s="199"/>
      <c r="AB126" s="199"/>
      <c r="AC126" s="199"/>
      <c r="AD126" s="199"/>
      <c r="AE126" s="199"/>
      <c r="AF126" s="199"/>
      <c r="AG126" s="199"/>
      <c r="AH126" s="199"/>
      <c r="AI126" s="199"/>
      <c r="AJ126" s="199"/>
      <c r="AK126" s="199"/>
    </row>
    <row r="127" spans="2:40" ht="15" customHeight="1" x14ac:dyDescent="0.3">
      <c r="C127" s="2"/>
      <c r="D127" s="2"/>
      <c r="E127" s="2" t="s">
        <v>131</v>
      </c>
      <c r="F127" s="227"/>
      <c r="G127" s="227"/>
      <c r="H127" s="227"/>
      <c r="I127" s="227"/>
      <c r="J127" s="227"/>
      <c r="K127" s="227"/>
      <c r="L127" s="227"/>
      <c r="M127" s="227"/>
      <c r="N127" s="227"/>
      <c r="O127" s="227"/>
      <c r="P127" s="227"/>
      <c r="Q127" s="227"/>
      <c r="R127" s="227"/>
      <c r="S127" s="227"/>
      <c r="T127" s="227"/>
      <c r="U127" s="227"/>
      <c r="V127" s="227"/>
      <c r="AF127" s="2" t="s">
        <v>135</v>
      </c>
      <c r="AG127" s="230"/>
      <c r="AH127" s="230"/>
      <c r="AI127" s="230"/>
      <c r="AJ127" s="230"/>
      <c r="AK127" s="230"/>
    </row>
    <row r="128" spans="2:40" ht="15" customHeight="1" x14ac:dyDescent="0.3"/>
    <row r="129" spans="2:42" ht="15" customHeight="1" x14ac:dyDescent="0.3">
      <c r="B129" s="1" t="s">
        <v>92</v>
      </c>
      <c r="F129" s="3"/>
      <c r="G129" s="3"/>
      <c r="H129" s="3"/>
      <c r="I129" s="3"/>
      <c r="J129" s="3"/>
      <c r="K129" s="2"/>
      <c r="L129" s="2"/>
      <c r="M129" s="2"/>
      <c r="N129" s="2"/>
      <c r="O129" s="3"/>
      <c r="P129" s="8"/>
      <c r="Q129" s="8"/>
      <c r="R129" s="8"/>
      <c r="S129" s="8"/>
      <c r="T129" s="8"/>
      <c r="U129" s="8"/>
      <c r="V129" s="8"/>
      <c r="W129" s="8"/>
      <c r="X129" s="8"/>
      <c r="Y129" s="8"/>
      <c r="Z129" s="8"/>
      <c r="AA129" s="8"/>
      <c r="AB129" s="8"/>
      <c r="AC129" s="8"/>
      <c r="AD129" s="8"/>
      <c r="AE129" s="8"/>
      <c r="AF129" s="8"/>
      <c r="AG129" s="8"/>
      <c r="AH129" s="8"/>
      <c r="AI129" s="8"/>
      <c r="AJ129" s="8"/>
      <c r="AK129" s="8"/>
    </row>
    <row r="130" spans="2:42" ht="15" customHeight="1" x14ac:dyDescent="0.3">
      <c r="D130" s="4" t="s">
        <v>159</v>
      </c>
      <c r="F130" s="4" t="s">
        <v>138</v>
      </c>
      <c r="W130" s="187" t="s">
        <v>247</v>
      </c>
      <c r="X130" s="187"/>
      <c r="Y130" s="187"/>
      <c r="Z130" s="187"/>
      <c r="AB130" s="187" t="s">
        <v>246</v>
      </c>
      <c r="AC130" s="187"/>
      <c r="AD130" s="187"/>
      <c r="AE130" s="187"/>
      <c r="AF130" s="187"/>
      <c r="AG130" s="187"/>
      <c r="AH130" s="187"/>
      <c r="AM130" s="87">
        <f>SUM(AM134,AM136,AM138,AM140,AM142,AM144,AM146)</f>
        <v>7</v>
      </c>
      <c r="AN130" s="72"/>
      <c r="AP130" s="87">
        <f>SUM(AP134,AP136,AP138,AP140,AP142,AP144,AP146)</f>
        <v>0</v>
      </c>
    </row>
    <row r="131" spans="2:42" ht="4.95" customHeight="1" x14ac:dyDescent="0.3">
      <c r="AM131" s="72"/>
      <c r="AN131" s="72"/>
    </row>
    <row r="132" spans="2:42" ht="15" customHeight="1" x14ac:dyDescent="0.3">
      <c r="D132" s="156"/>
      <c r="F132" s="156"/>
      <c r="H132" s="4" t="s">
        <v>310</v>
      </c>
      <c r="AM132" s="87">
        <f>IF(AND(ISBLANK(D132),ISBLANK(F132)),1,2)</f>
        <v>1</v>
      </c>
      <c r="AN132" s="87">
        <f>IF(ISBLANK(F132),1,2)</f>
        <v>1</v>
      </c>
      <c r="AO132" s="87">
        <f>IF(ISBLANK(D132),1,2)</f>
        <v>1</v>
      </c>
      <c r="AP132" s="87">
        <f>IF(ISBLANK(F132),0,1)</f>
        <v>0</v>
      </c>
    </row>
    <row r="133" spans="2:42" ht="4.95" customHeight="1" x14ac:dyDescent="0.3">
      <c r="AM133" s="72"/>
      <c r="AN133" s="72"/>
    </row>
    <row r="134" spans="2:42" ht="15" customHeight="1" x14ac:dyDescent="0.3">
      <c r="D134" s="156"/>
      <c r="F134" s="156"/>
      <c r="H134" s="4" t="s">
        <v>270</v>
      </c>
      <c r="X134" s="192"/>
      <c r="Y134" s="192"/>
      <c r="AB134" s="226"/>
      <c r="AC134" s="226"/>
      <c r="AD134" s="226"/>
      <c r="AE134" s="226"/>
      <c r="AF134" s="226"/>
      <c r="AG134" s="226"/>
      <c r="AH134" s="226"/>
      <c r="AM134" s="87">
        <f>IF(AND(ISBLANK(D134),ISBLANK(F134)),1,2)</f>
        <v>1</v>
      </c>
      <c r="AN134" s="87">
        <f>IF(ISBLANK(F134),1,2)</f>
        <v>1</v>
      </c>
      <c r="AO134" s="87">
        <f>IF(ISBLANK(D134),1,2)</f>
        <v>1</v>
      </c>
      <c r="AP134" s="87">
        <f>IF(ISBLANK(F134),0,1)</f>
        <v>0</v>
      </c>
    </row>
    <row r="135" spans="2:42" ht="4.95" customHeight="1" x14ac:dyDescent="0.3">
      <c r="AM135" s="72"/>
      <c r="AN135" s="72"/>
    </row>
    <row r="136" spans="2:42" ht="15" customHeight="1" x14ac:dyDescent="0.3">
      <c r="D136" s="156"/>
      <c r="F136" s="156"/>
      <c r="H136" s="4" t="s">
        <v>316</v>
      </c>
      <c r="X136" s="192"/>
      <c r="Y136" s="192"/>
      <c r="AB136" s="226"/>
      <c r="AC136" s="226"/>
      <c r="AD136" s="226"/>
      <c r="AE136" s="226"/>
      <c r="AF136" s="226"/>
      <c r="AG136" s="226"/>
      <c r="AH136" s="226"/>
      <c r="AM136" s="87">
        <f>IF(AND(ISBLANK(D136),ISBLANK(F136)),1,2)</f>
        <v>1</v>
      </c>
      <c r="AN136" s="87">
        <f>IF(ISBLANK(F136),1,2)</f>
        <v>1</v>
      </c>
      <c r="AO136" s="87">
        <f>IF(ISBLANK(D136),1,2)</f>
        <v>1</v>
      </c>
      <c r="AP136" s="87">
        <f>IF(ISBLANK(F136),0,1)</f>
        <v>0</v>
      </c>
    </row>
    <row r="137" spans="2:42" ht="4.95" customHeight="1" x14ac:dyDescent="0.3">
      <c r="AM137" s="72"/>
      <c r="AN137" s="72"/>
    </row>
    <row r="138" spans="2:42" ht="15" customHeight="1" x14ac:dyDescent="0.3">
      <c r="D138" s="156"/>
      <c r="F138" s="156"/>
      <c r="H138" s="4" t="s">
        <v>398</v>
      </c>
      <c r="X138" s="192"/>
      <c r="Y138" s="192"/>
      <c r="AB138" s="226"/>
      <c r="AC138" s="226"/>
      <c r="AD138" s="226"/>
      <c r="AE138" s="226"/>
      <c r="AF138" s="226"/>
      <c r="AG138" s="226"/>
      <c r="AH138" s="226"/>
      <c r="AM138" s="87">
        <f>IF(AND(ISBLANK(D138),ISBLANK(F138)),1,2)</f>
        <v>1</v>
      </c>
      <c r="AN138" s="87">
        <f>IF(ISBLANK(F138),1,2)</f>
        <v>1</v>
      </c>
      <c r="AO138" s="87">
        <f>IF(ISBLANK(D138),1,2)</f>
        <v>1</v>
      </c>
      <c r="AP138" s="87">
        <f>IF(ISBLANK(F138),0,1)</f>
        <v>0</v>
      </c>
    </row>
    <row r="139" spans="2:42" ht="4.95" customHeight="1" x14ac:dyDescent="0.3">
      <c r="C139" s="3"/>
      <c r="D139" s="3"/>
      <c r="E139" s="3"/>
      <c r="F139" s="2"/>
      <c r="G139" s="2"/>
      <c r="J139" s="3"/>
      <c r="K139" s="8"/>
      <c r="L139" s="8"/>
      <c r="M139" s="8"/>
      <c r="N139" s="8"/>
      <c r="O139" s="8"/>
      <c r="P139" s="8"/>
      <c r="X139" s="8"/>
      <c r="Y139" s="8"/>
      <c r="Z139" s="8"/>
      <c r="AA139" s="8"/>
      <c r="AB139" s="8"/>
      <c r="AC139" s="8"/>
      <c r="AD139" s="8"/>
      <c r="AE139" s="8"/>
      <c r="AF139" s="8"/>
      <c r="AG139" s="8"/>
      <c r="AH139" s="8"/>
      <c r="AI139" s="8"/>
      <c r="AJ139" s="8"/>
      <c r="AK139" s="8"/>
    </row>
    <row r="140" spans="2:42" ht="15" customHeight="1" x14ac:dyDescent="0.3">
      <c r="C140" s="3"/>
      <c r="D140" s="156"/>
      <c r="F140" s="156"/>
      <c r="H140" s="4" t="s">
        <v>399</v>
      </c>
      <c r="X140" s="192"/>
      <c r="Y140" s="192"/>
      <c r="AB140" s="226"/>
      <c r="AC140" s="226"/>
      <c r="AD140" s="226"/>
      <c r="AE140" s="226"/>
      <c r="AF140" s="226"/>
      <c r="AG140" s="226"/>
      <c r="AH140" s="226"/>
      <c r="AM140" s="87">
        <f>IF(AND(ISBLANK(D140),ISBLANK(F140)),1,2)</f>
        <v>1</v>
      </c>
      <c r="AN140" s="87">
        <f>IF(ISBLANK(F140),1,2)</f>
        <v>1</v>
      </c>
      <c r="AO140" s="87">
        <f>IF(ISBLANK(D140),1,2)</f>
        <v>1</v>
      </c>
      <c r="AP140" s="87">
        <f>IF(ISBLANK(F140),0,1)</f>
        <v>0</v>
      </c>
    </row>
    <row r="141" spans="2:42" ht="4.95" customHeight="1" x14ac:dyDescent="0.3">
      <c r="F141" s="3"/>
      <c r="G141" s="3"/>
      <c r="I141" s="3"/>
      <c r="J141" s="3"/>
      <c r="K141" s="2"/>
      <c r="L141" s="2"/>
      <c r="M141" s="2"/>
      <c r="N141" s="2"/>
      <c r="O141" s="3"/>
      <c r="P141" s="8"/>
      <c r="Q141" s="8"/>
      <c r="R141" s="8"/>
      <c r="S141" s="8"/>
      <c r="T141" s="8"/>
      <c r="U141" s="8"/>
      <c r="V141" s="8"/>
      <c r="W141" s="8"/>
      <c r="X141" s="8"/>
      <c r="Y141" s="8"/>
      <c r="Z141" s="8"/>
      <c r="AA141" s="8"/>
      <c r="AB141" s="8"/>
      <c r="AC141" s="8"/>
      <c r="AD141" s="8"/>
      <c r="AE141" s="8"/>
      <c r="AF141" s="8"/>
      <c r="AG141" s="8"/>
      <c r="AH141" s="8"/>
      <c r="AI141" s="8"/>
      <c r="AJ141" s="8"/>
      <c r="AK141" s="8"/>
    </row>
    <row r="142" spans="2:42" ht="15" customHeight="1" x14ac:dyDescent="0.3">
      <c r="D142" s="156"/>
      <c r="F142" s="156"/>
      <c r="G142" s="3"/>
      <c r="H142" s="4" t="s">
        <v>269</v>
      </c>
      <c r="I142" s="3"/>
      <c r="J142" s="3"/>
      <c r="K142" s="2"/>
      <c r="L142" s="2"/>
      <c r="M142" s="2"/>
      <c r="N142" s="2"/>
      <c r="O142" s="3"/>
      <c r="P142" s="8"/>
      <c r="Q142" s="8"/>
      <c r="R142" s="8"/>
      <c r="S142" s="8"/>
      <c r="T142" s="8"/>
      <c r="U142" s="8"/>
      <c r="V142" s="8"/>
      <c r="W142" s="8"/>
      <c r="X142" s="192"/>
      <c r="Y142" s="192"/>
      <c r="AB142" s="226"/>
      <c r="AC142" s="226"/>
      <c r="AD142" s="226"/>
      <c r="AE142" s="226"/>
      <c r="AF142" s="226"/>
      <c r="AG142" s="226"/>
      <c r="AH142" s="226"/>
      <c r="AI142" s="8"/>
      <c r="AJ142" s="8"/>
      <c r="AK142" s="8"/>
      <c r="AM142" s="87">
        <f>IF(AND(ISBLANK(D142),ISBLANK(F142)),1,2)</f>
        <v>1</v>
      </c>
      <c r="AN142" s="87">
        <f>IF(ISBLANK(F142),1,2)</f>
        <v>1</v>
      </c>
      <c r="AO142" s="87">
        <f>IF(ISBLANK(D142),1,2)</f>
        <v>1</v>
      </c>
      <c r="AP142" s="87">
        <f>IF(ISBLANK(F142),0,1)</f>
        <v>0</v>
      </c>
    </row>
    <row r="143" spans="2:42" ht="4.95" customHeight="1" x14ac:dyDescent="0.3">
      <c r="F143" s="3"/>
      <c r="G143" s="3"/>
      <c r="H143" s="3"/>
      <c r="I143" s="3"/>
      <c r="J143" s="3"/>
      <c r="K143" s="2"/>
      <c r="L143" s="2"/>
      <c r="M143" s="2"/>
      <c r="N143" s="2"/>
      <c r="O143" s="3"/>
      <c r="P143" s="8"/>
      <c r="Q143" s="8"/>
      <c r="R143" s="8"/>
      <c r="S143" s="8"/>
      <c r="T143" s="8"/>
      <c r="U143" s="8"/>
      <c r="V143" s="8"/>
      <c r="W143" s="8"/>
      <c r="X143" s="8"/>
      <c r="Y143" s="8"/>
      <c r="Z143" s="8"/>
      <c r="AA143" s="8"/>
      <c r="AB143" s="8"/>
      <c r="AC143" s="8"/>
      <c r="AD143" s="8"/>
      <c r="AE143" s="8"/>
      <c r="AF143" s="8"/>
      <c r="AG143" s="8"/>
      <c r="AH143" s="8"/>
      <c r="AI143" s="8"/>
      <c r="AJ143" s="8"/>
      <c r="AK143" s="8"/>
    </row>
    <row r="144" spans="2:42" ht="15" customHeight="1" x14ac:dyDescent="0.3">
      <c r="D144" s="156"/>
      <c r="F144" s="156"/>
      <c r="G144" s="3"/>
      <c r="H144" s="4" t="s">
        <v>271</v>
      </c>
      <c r="I144" s="3"/>
      <c r="J144" s="3"/>
      <c r="K144" s="2"/>
      <c r="L144" s="2"/>
      <c r="M144" s="2"/>
      <c r="N144" s="2"/>
      <c r="O144" s="3"/>
      <c r="P144" s="8"/>
      <c r="Q144" s="8"/>
      <c r="R144" s="8"/>
      <c r="S144" s="8"/>
      <c r="T144" s="8"/>
      <c r="U144" s="8"/>
      <c r="V144" s="8"/>
      <c r="W144" s="8"/>
      <c r="X144" s="192"/>
      <c r="Y144" s="192"/>
      <c r="AB144" s="226"/>
      <c r="AC144" s="226"/>
      <c r="AD144" s="226"/>
      <c r="AE144" s="226"/>
      <c r="AF144" s="226"/>
      <c r="AG144" s="226"/>
      <c r="AH144" s="226"/>
      <c r="AI144" s="8"/>
      <c r="AJ144" s="8"/>
      <c r="AK144" s="8"/>
      <c r="AM144" s="87">
        <f>IF(AND(ISBLANK(D144),ISBLANK(F144)),1,2)</f>
        <v>1</v>
      </c>
      <c r="AN144" s="87">
        <f>IF(ISBLANK(F144),1,2)</f>
        <v>1</v>
      </c>
      <c r="AO144" s="87">
        <f>IF(ISBLANK(D144),1,2)</f>
        <v>1</v>
      </c>
      <c r="AP144" s="87">
        <f>IF(ISBLANK(F144),0,1)</f>
        <v>0</v>
      </c>
    </row>
    <row r="145" spans="2:42" ht="4.95" customHeight="1" x14ac:dyDescent="0.3">
      <c r="F145" s="3"/>
      <c r="G145" s="3"/>
      <c r="H145" s="3"/>
      <c r="I145" s="3"/>
      <c r="J145" s="3"/>
      <c r="K145" s="2"/>
      <c r="L145" s="2"/>
      <c r="M145" s="2"/>
      <c r="N145" s="2"/>
      <c r="O145" s="3"/>
      <c r="P145" s="8"/>
      <c r="Q145" s="8"/>
      <c r="R145" s="8"/>
      <c r="S145" s="8"/>
      <c r="T145" s="8"/>
      <c r="U145" s="8"/>
      <c r="V145" s="8"/>
      <c r="W145" s="8"/>
      <c r="X145" s="8"/>
      <c r="Y145" s="8"/>
      <c r="Z145" s="8"/>
      <c r="AA145" s="8"/>
      <c r="AB145" s="8"/>
      <c r="AC145" s="8"/>
      <c r="AD145" s="8"/>
      <c r="AE145" s="8"/>
      <c r="AF145" s="8"/>
      <c r="AG145" s="8"/>
      <c r="AH145" s="8"/>
      <c r="AI145" s="8"/>
      <c r="AJ145" s="8"/>
      <c r="AK145" s="8"/>
    </row>
    <row r="146" spans="2:42" ht="15" customHeight="1" x14ac:dyDescent="0.3">
      <c r="F146" s="3"/>
      <c r="G146" s="3"/>
      <c r="I146" s="3"/>
      <c r="J146" s="3"/>
      <c r="K146" s="2"/>
      <c r="L146" s="2"/>
      <c r="M146" s="2"/>
      <c r="N146" s="2"/>
      <c r="O146" s="3"/>
      <c r="P146" s="8"/>
      <c r="Q146" s="8"/>
      <c r="R146" s="8"/>
      <c r="S146" s="8"/>
      <c r="T146" s="8"/>
      <c r="U146" s="8"/>
      <c r="V146" s="8"/>
      <c r="W146" s="8"/>
      <c r="X146" s="8"/>
      <c r="Y146" s="8"/>
      <c r="Z146" s="8"/>
      <c r="AA146" s="8"/>
      <c r="AB146" s="8"/>
      <c r="AC146" s="8"/>
      <c r="AD146" s="8"/>
      <c r="AE146" s="8"/>
      <c r="AF146" s="8"/>
      <c r="AG146" s="8"/>
      <c r="AH146" s="8"/>
      <c r="AI146" s="8"/>
      <c r="AJ146" s="8"/>
      <c r="AK146" s="8"/>
      <c r="AM146" s="87">
        <f>IF(AND(ISBLANK(D146),ISBLANK(F146)),1,2)</f>
        <v>1</v>
      </c>
      <c r="AN146" s="87">
        <f>IF(ISBLANK(F146),1,2)</f>
        <v>1</v>
      </c>
      <c r="AO146" s="87">
        <f>IF(ISBLANK(D146),1,2)</f>
        <v>1</v>
      </c>
      <c r="AP146" s="87">
        <f>IF(ISBLANK(F146),0,1)</f>
        <v>0</v>
      </c>
    </row>
    <row r="147" spans="2:42" ht="15" customHeight="1" x14ac:dyDescent="0.3"/>
    <row r="148" spans="2:42" ht="15" customHeight="1" x14ac:dyDescent="0.3"/>
    <row r="149" spans="2:42" ht="15" customHeight="1" x14ac:dyDescent="0.3"/>
    <row r="150" spans="2:42" ht="15" customHeight="1" x14ac:dyDescent="0.3"/>
    <row r="151" spans="2:42" ht="15" customHeight="1" x14ac:dyDescent="0.3">
      <c r="B151" s="216">
        <f>Tables!$F$13</f>
        <v>46266</v>
      </c>
      <c r="C151" s="216"/>
      <c r="D151" s="216"/>
      <c r="E151" s="216"/>
      <c r="F151" s="216"/>
      <c r="G151" s="216"/>
      <c r="H151" s="216"/>
      <c r="I151" s="68"/>
      <c r="R151" s="4" t="s">
        <v>249</v>
      </c>
    </row>
    <row r="152" spans="2:42" ht="15" customHeight="1" x14ac:dyDescent="0.3">
      <c r="C152" s="2" t="s">
        <v>1</v>
      </c>
      <c r="D152" s="171">
        <f>IF(ISBLANK($E$7),"",$E$7)</f>
        <v>0</v>
      </c>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c r="AF152" s="2" t="s">
        <v>18</v>
      </c>
      <c r="AG152" s="172">
        <f>IF(ISBLANK($AF$7),0,$AF$7)</f>
        <v>0</v>
      </c>
      <c r="AH152" s="172"/>
      <c r="AI152" s="172"/>
      <c r="AJ152" s="172"/>
      <c r="AK152" s="172"/>
    </row>
    <row r="153" spans="2:42" ht="15" customHeight="1" x14ac:dyDescent="0.3">
      <c r="F153" s="3"/>
      <c r="G153" s="3"/>
      <c r="H153" s="3"/>
      <c r="I153" s="3"/>
      <c r="J153" s="3"/>
      <c r="K153" s="2"/>
      <c r="L153" s="2"/>
      <c r="M153" s="2"/>
      <c r="N153" s="2"/>
      <c r="O153" s="3"/>
      <c r="P153" s="8"/>
      <c r="Q153" s="8"/>
      <c r="R153" s="8"/>
      <c r="S153" s="8"/>
      <c r="T153" s="8"/>
      <c r="U153" s="8"/>
      <c r="V153" s="8"/>
      <c r="W153" s="8"/>
      <c r="X153" s="8"/>
      <c r="Y153" s="8"/>
      <c r="Z153" s="8"/>
      <c r="AA153" s="8"/>
      <c r="AB153" s="8"/>
      <c r="AC153" s="8"/>
      <c r="AD153" s="8"/>
      <c r="AE153" s="8"/>
      <c r="AF153" s="2" t="s">
        <v>31</v>
      </c>
      <c r="AG153" s="169">
        <f>IF(ISBLANK($AF$8),"",$AF$8)</f>
        <v>0</v>
      </c>
      <c r="AH153" s="169"/>
      <c r="AI153" s="169"/>
      <c r="AJ153" s="169"/>
      <c r="AK153" s="169"/>
    </row>
    <row r="154" spans="2:42" ht="15" customHeight="1" x14ac:dyDescent="0.3"/>
    <row r="155" spans="2:42" ht="15" customHeight="1" x14ac:dyDescent="0.3">
      <c r="B155" s="1" t="s">
        <v>17</v>
      </c>
      <c r="C155" s="1"/>
      <c r="D155" s="1"/>
      <c r="E155" s="1"/>
      <c r="F155" s="1"/>
      <c r="G155" s="1"/>
      <c r="H155" s="1"/>
      <c r="I155" s="1"/>
      <c r="J155" s="1"/>
    </row>
    <row r="156" spans="2:42" ht="15" customHeight="1" x14ac:dyDescent="0.3">
      <c r="B156" s="232" t="s">
        <v>188</v>
      </c>
      <c r="C156" s="232"/>
      <c r="D156" s="232"/>
      <c r="E156" s="232"/>
      <c r="F156" s="232"/>
      <c r="G156" s="232"/>
      <c r="H156" s="232"/>
      <c r="I156" s="232"/>
      <c r="J156" s="232"/>
      <c r="K156" s="232"/>
      <c r="L156" s="232"/>
      <c r="M156" s="232"/>
      <c r="N156" s="232"/>
      <c r="O156" s="232"/>
      <c r="P156" s="232"/>
      <c r="Q156" s="232"/>
      <c r="R156" s="232"/>
      <c r="S156" s="232"/>
      <c r="T156" s="232"/>
      <c r="U156" s="232"/>
      <c r="V156" s="232"/>
      <c r="W156" s="232"/>
      <c r="X156" s="232"/>
      <c r="Y156" s="232"/>
      <c r="Z156" s="232"/>
      <c r="AA156" s="232"/>
      <c r="AB156" s="232"/>
      <c r="AC156" s="232"/>
      <c r="AD156" s="232"/>
      <c r="AE156" s="232"/>
      <c r="AF156" s="232"/>
      <c r="AG156" s="232"/>
      <c r="AH156" s="232"/>
      <c r="AI156" s="232"/>
      <c r="AJ156" s="232"/>
      <c r="AK156" s="232"/>
      <c r="AL156" s="50"/>
    </row>
    <row r="157" spans="2:42" ht="15" customHeight="1" x14ac:dyDescent="0.3">
      <c r="B157" s="232"/>
      <c r="C157" s="232"/>
      <c r="D157" s="232"/>
      <c r="E157" s="232"/>
      <c r="F157" s="232"/>
      <c r="G157" s="232"/>
      <c r="H157" s="232"/>
      <c r="I157" s="232"/>
      <c r="J157" s="232"/>
      <c r="K157" s="232"/>
      <c r="L157" s="232"/>
      <c r="M157" s="232"/>
      <c r="N157" s="232"/>
      <c r="O157" s="232"/>
      <c r="P157" s="232"/>
      <c r="Q157" s="232"/>
      <c r="R157" s="232"/>
      <c r="S157" s="232"/>
      <c r="T157" s="232"/>
      <c r="U157" s="232"/>
      <c r="V157" s="232"/>
      <c r="W157" s="232"/>
      <c r="X157" s="232"/>
      <c r="Y157" s="232"/>
      <c r="Z157" s="232"/>
      <c r="AA157" s="232"/>
      <c r="AB157" s="232"/>
      <c r="AC157" s="232"/>
      <c r="AD157" s="232"/>
      <c r="AE157" s="232"/>
      <c r="AF157" s="232"/>
      <c r="AG157" s="232"/>
      <c r="AH157" s="232"/>
      <c r="AI157" s="232"/>
      <c r="AJ157" s="232"/>
      <c r="AK157" s="232"/>
      <c r="AL157" s="50"/>
    </row>
    <row r="158" spans="2:42" ht="15" customHeight="1" x14ac:dyDescent="0.3">
      <c r="B158" s="232"/>
      <c r="C158" s="232"/>
      <c r="D158" s="232"/>
      <c r="E158" s="232"/>
      <c r="F158" s="232"/>
      <c r="G158" s="232"/>
      <c r="H158" s="232"/>
      <c r="I158" s="232"/>
      <c r="J158" s="232"/>
      <c r="K158" s="232"/>
      <c r="L158" s="232"/>
      <c r="M158" s="232"/>
      <c r="N158" s="232"/>
      <c r="O158" s="232"/>
      <c r="P158" s="232"/>
      <c r="Q158" s="232"/>
      <c r="R158" s="232"/>
      <c r="S158" s="232"/>
      <c r="T158" s="232"/>
      <c r="U158" s="232"/>
      <c r="V158" s="232"/>
      <c r="W158" s="232"/>
      <c r="X158" s="232"/>
      <c r="Y158" s="232"/>
      <c r="Z158" s="232"/>
      <c r="AA158" s="232"/>
      <c r="AB158" s="232"/>
      <c r="AC158" s="232"/>
      <c r="AD158" s="232"/>
      <c r="AE158" s="232"/>
      <c r="AF158" s="232"/>
      <c r="AG158" s="232"/>
      <c r="AH158" s="232"/>
      <c r="AI158" s="232"/>
      <c r="AJ158" s="232"/>
      <c r="AK158" s="232"/>
      <c r="AL158" s="50"/>
    </row>
    <row r="159" spans="2:42" ht="15" customHeight="1" x14ac:dyDescent="0.3">
      <c r="B159" s="232"/>
      <c r="C159" s="232"/>
      <c r="D159" s="232"/>
      <c r="E159" s="232"/>
      <c r="F159" s="232"/>
      <c r="G159" s="232"/>
      <c r="H159" s="232"/>
      <c r="I159" s="232"/>
      <c r="J159" s="232"/>
      <c r="K159" s="232"/>
      <c r="L159" s="232"/>
      <c r="M159" s="232"/>
      <c r="N159" s="232"/>
      <c r="O159" s="232"/>
      <c r="P159" s="232"/>
      <c r="Q159" s="232"/>
      <c r="R159" s="232"/>
      <c r="S159" s="232"/>
      <c r="T159" s="232"/>
      <c r="U159" s="232"/>
      <c r="V159" s="232"/>
      <c r="W159" s="232"/>
      <c r="X159" s="232"/>
      <c r="Y159" s="232"/>
      <c r="Z159" s="232"/>
      <c r="AA159" s="232"/>
      <c r="AB159" s="232"/>
      <c r="AC159" s="232"/>
      <c r="AD159" s="232"/>
      <c r="AE159" s="232"/>
      <c r="AF159" s="232"/>
      <c r="AG159" s="232"/>
      <c r="AH159" s="232"/>
      <c r="AI159" s="232"/>
      <c r="AJ159" s="232"/>
      <c r="AK159" s="232"/>
      <c r="AL159" s="50"/>
    </row>
    <row r="160" spans="2:42" ht="15" customHeight="1" x14ac:dyDescent="0.3">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row>
    <row r="161" spans="2:39" ht="15" customHeight="1" x14ac:dyDescent="0.3">
      <c r="D161" s="2" t="s">
        <v>160</v>
      </c>
      <c r="E161" s="199"/>
      <c r="F161" s="199"/>
      <c r="G161" s="199"/>
      <c r="H161" s="199"/>
      <c r="I161" s="199"/>
      <c r="J161" s="199"/>
      <c r="K161" s="199"/>
      <c r="L161" s="199"/>
      <c r="M161" s="199"/>
      <c r="N161" s="199"/>
      <c r="O161" s="199"/>
      <c r="P161" s="199"/>
      <c r="Q161" s="199"/>
      <c r="R161" s="199"/>
      <c r="S161" s="199"/>
      <c r="T161" s="199"/>
      <c r="U161" s="199"/>
      <c r="V161" s="199"/>
      <c r="W161" s="199"/>
      <c r="X161" s="199"/>
      <c r="Y161" s="199"/>
      <c r="AB161" s="2" t="s">
        <v>228</v>
      </c>
      <c r="AC161" s="2"/>
      <c r="AD161" s="2"/>
      <c r="AE161" s="2"/>
    </row>
    <row r="162" spans="2:39" ht="15" customHeight="1" x14ac:dyDescent="0.3">
      <c r="D162" s="2" t="s">
        <v>129</v>
      </c>
      <c r="E162" s="196"/>
      <c r="F162" s="196"/>
      <c r="G162" s="196"/>
      <c r="H162" s="196"/>
      <c r="I162" s="196"/>
      <c r="J162" s="196"/>
      <c r="K162" s="196"/>
      <c r="L162" s="196"/>
      <c r="M162" s="196"/>
      <c r="N162" s="196"/>
      <c r="O162" s="196"/>
      <c r="P162" s="196"/>
      <c r="Q162" s="196"/>
      <c r="R162" s="196"/>
      <c r="S162" s="196"/>
      <c r="T162" s="196"/>
      <c r="U162" s="196"/>
      <c r="V162" s="196"/>
      <c r="W162" s="196"/>
      <c r="X162" s="196"/>
      <c r="Y162" s="196"/>
    </row>
    <row r="163" spans="2:39" ht="15" customHeight="1" x14ac:dyDescent="0.3">
      <c r="D163" s="2" t="s">
        <v>130</v>
      </c>
      <c r="E163" s="196"/>
      <c r="F163" s="196"/>
      <c r="G163" s="196"/>
      <c r="H163" s="196"/>
      <c r="I163" s="196"/>
      <c r="J163" s="196"/>
      <c r="K163" s="196"/>
      <c r="L163" s="196"/>
      <c r="M163" s="196"/>
      <c r="N163" s="196"/>
      <c r="O163" s="196"/>
      <c r="P163" s="196"/>
      <c r="Q163" s="196"/>
      <c r="R163" s="196"/>
      <c r="S163" s="196"/>
      <c r="T163" s="196"/>
      <c r="U163" s="196"/>
      <c r="V163" s="196"/>
      <c r="W163" s="196"/>
      <c r="X163" s="196"/>
      <c r="Y163" s="196"/>
    </row>
    <row r="164" spans="2:39" ht="15" customHeight="1" x14ac:dyDescent="0.3">
      <c r="D164" s="2" t="s">
        <v>202</v>
      </c>
      <c r="E164" s="196"/>
      <c r="F164" s="196"/>
      <c r="G164" s="196"/>
      <c r="H164" s="196"/>
      <c r="I164" s="196"/>
      <c r="J164" s="196"/>
      <c r="K164" s="196"/>
      <c r="L164" s="53"/>
      <c r="M164" s="53"/>
      <c r="N164" s="95" t="s">
        <v>133</v>
      </c>
      <c r="O164" s="196"/>
      <c r="P164" s="196"/>
      <c r="Q164" s="196"/>
      <c r="R164" s="196"/>
      <c r="S164" s="53"/>
      <c r="T164" s="53"/>
      <c r="U164" s="53"/>
      <c r="V164" s="95" t="s">
        <v>134</v>
      </c>
      <c r="W164" s="198"/>
      <c r="X164" s="198"/>
      <c r="Y164" s="198"/>
    </row>
    <row r="165" spans="2:39" ht="15" customHeight="1" x14ac:dyDescent="0.3">
      <c r="D165" s="2" t="s">
        <v>131</v>
      </c>
      <c r="E165" s="200"/>
      <c r="F165" s="200"/>
      <c r="G165" s="200"/>
      <c r="H165" s="200"/>
      <c r="I165" s="200"/>
      <c r="J165" s="200"/>
      <c r="K165" s="200"/>
      <c r="L165" s="200"/>
      <c r="M165" s="200"/>
      <c r="N165" s="200"/>
      <c r="O165" s="200"/>
      <c r="P165" s="200"/>
      <c r="Q165" s="200"/>
      <c r="R165" s="200"/>
      <c r="S165" s="200"/>
      <c r="T165" s="200"/>
      <c r="U165" s="200"/>
      <c r="V165" s="200"/>
      <c r="W165" s="200"/>
      <c r="X165" s="200"/>
      <c r="Y165" s="200"/>
    </row>
    <row r="166" spans="2:39" ht="15" customHeight="1" x14ac:dyDescent="0.3">
      <c r="D166" s="2" t="s">
        <v>135</v>
      </c>
      <c r="E166" s="197"/>
      <c r="F166" s="197"/>
      <c r="G166" s="197"/>
      <c r="H166" s="197"/>
      <c r="I166" s="197"/>
      <c r="U166" s="50"/>
      <c r="V166" s="50"/>
      <c r="W166" s="50"/>
    </row>
    <row r="167" spans="2:39" ht="15" customHeight="1" x14ac:dyDescent="0.3">
      <c r="D167" s="2"/>
      <c r="E167" s="53"/>
      <c r="F167" s="53"/>
      <c r="G167" s="53"/>
      <c r="H167" s="53"/>
      <c r="I167" s="53"/>
      <c r="U167" s="50"/>
      <c r="V167" s="50"/>
      <c r="W167" s="50"/>
    </row>
    <row r="168" spans="2:39" ht="15" customHeight="1" x14ac:dyDescent="0.3">
      <c r="D168" s="2" t="s">
        <v>161</v>
      </c>
      <c r="E168" s="64"/>
      <c r="F168" s="64"/>
      <c r="G168" s="64"/>
      <c r="H168" s="64"/>
      <c r="I168" s="64"/>
      <c r="J168" s="64"/>
      <c r="K168" s="64"/>
      <c r="L168" s="64"/>
      <c r="M168" s="64"/>
      <c r="N168" s="64"/>
      <c r="O168" s="64"/>
      <c r="P168" s="64"/>
      <c r="Q168" s="64"/>
      <c r="R168" s="64"/>
      <c r="S168" s="64"/>
      <c r="T168" s="64"/>
      <c r="U168" s="50"/>
      <c r="V168" s="50"/>
      <c r="W168" s="50"/>
      <c r="AB168" s="2" t="s">
        <v>155</v>
      </c>
      <c r="AC168" s="195"/>
      <c r="AD168" s="195"/>
      <c r="AE168" s="195"/>
      <c r="AF168" s="195"/>
      <c r="AG168" s="195"/>
    </row>
    <row r="169" spans="2:39" ht="15" customHeight="1" x14ac:dyDescent="0.3"/>
    <row r="170" spans="2:39" ht="15" customHeight="1" x14ac:dyDescent="0.3">
      <c r="B170" s="23" t="s">
        <v>78</v>
      </c>
      <c r="C170" s="69"/>
      <c r="D170" s="69"/>
      <c r="E170" s="69"/>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111" t="s">
        <v>308</v>
      </c>
      <c r="AF170" s="231">
        <f>'Form 2A.1 - Design'!AE7</f>
        <v>0</v>
      </c>
      <c r="AG170" s="231"/>
      <c r="AH170" s="231"/>
      <c r="AI170" s="231"/>
      <c r="AJ170" s="231"/>
      <c r="AK170" s="231"/>
      <c r="AL170" s="25"/>
      <c r="AM170" s="42" t="s">
        <v>231</v>
      </c>
    </row>
    <row r="171" spans="2:39" ht="15" customHeight="1" x14ac:dyDescent="0.3">
      <c r="B171" s="26"/>
      <c r="C171" s="27"/>
      <c r="D171" s="27"/>
      <c r="E171" s="27"/>
      <c r="F171" s="27"/>
      <c r="G171" s="27"/>
      <c r="H171" s="27"/>
      <c r="I171" s="27"/>
      <c r="J171" s="27"/>
      <c r="K171" s="34" t="s">
        <v>79</v>
      </c>
      <c r="L171" s="34"/>
      <c r="M171" s="35" t="s">
        <v>80</v>
      </c>
      <c r="N171" s="34"/>
      <c r="O171" s="34"/>
      <c r="P171" s="35"/>
      <c r="Q171" s="35"/>
      <c r="R171" s="35"/>
      <c r="S171" s="35"/>
      <c r="T171" s="27"/>
      <c r="U171" s="27"/>
      <c r="V171" s="27"/>
      <c r="W171" s="27"/>
      <c r="X171" s="27"/>
      <c r="Y171" s="27"/>
      <c r="Z171" s="27"/>
      <c r="AA171" s="27"/>
      <c r="AB171" s="27"/>
      <c r="AC171" s="27"/>
      <c r="AD171" s="27"/>
      <c r="AE171" s="27"/>
      <c r="AF171" s="27"/>
      <c r="AG171" s="27"/>
      <c r="AH171" s="27"/>
      <c r="AI171" s="27"/>
      <c r="AJ171" s="27"/>
      <c r="AK171" s="27"/>
      <c r="AL171" s="28"/>
      <c r="AM171" s="87">
        <f>SUM(AM172:AM187)</f>
        <v>13</v>
      </c>
    </row>
    <row r="172" spans="2:39" ht="15" customHeight="1" x14ac:dyDescent="0.3">
      <c r="B172" s="26"/>
      <c r="C172" s="27"/>
      <c r="D172" s="27"/>
      <c r="E172" s="27"/>
      <c r="F172" s="27"/>
      <c r="G172" s="27"/>
      <c r="H172" s="27"/>
      <c r="I172" s="27"/>
      <c r="J172" s="27"/>
      <c r="K172" s="29" t="s">
        <v>83</v>
      </c>
      <c r="L172" s="29"/>
      <c r="M172" s="27" t="str">
        <f>IF(AM44&lt;6,Tables!J4,"")</f>
        <v>Emergency Spillway Section not completed</v>
      </c>
      <c r="N172" s="29"/>
      <c r="O172" s="29"/>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8"/>
      <c r="AM172" s="87">
        <f>IF(M172="",0,1)</f>
        <v>1</v>
      </c>
    </row>
    <row r="173" spans="2:39" ht="15" customHeight="1" x14ac:dyDescent="0.3">
      <c r="B173" s="26"/>
      <c r="C173" s="27"/>
      <c r="D173" s="27"/>
      <c r="E173" s="27"/>
      <c r="F173" s="27"/>
      <c r="G173" s="27"/>
      <c r="H173" s="27"/>
      <c r="I173" s="27"/>
      <c r="J173" s="27"/>
      <c r="K173" s="29" t="s">
        <v>201</v>
      </c>
      <c r="L173" s="29"/>
      <c r="M173" s="27" t="str">
        <f>IF(OR(AO96&lt;1,AO97&lt;1),Tables!J11,"")</f>
        <v>Freeboard  &lt;  1.0 ft</v>
      </c>
      <c r="N173" s="29"/>
      <c r="O173" s="29"/>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8"/>
      <c r="AM173" s="87">
        <f>IF(M173="",0,1)</f>
        <v>1</v>
      </c>
    </row>
    <row r="174" spans="2:39" ht="15" customHeight="1" x14ac:dyDescent="0.3">
      <c r="B174" s="26"/>
      <c r="C174" s="27"/>
      <c r="D174" s="27"/>
      <c r="E174" s="27"/>
      <c r="F174" s="27"/>
      <c r="G174" s="27"/>
      <c r="H174" s="27"/>
      <c r="I174" s="27"/>
      <c r="J174" s="27"/>
      <c r="K174" s="29" t="s">
        <v>109</v>
      </c>
      <c r="L174" s="29"/>
      <c r="M174" s="27" t="str">
        <f>IF(AO50&lt;2,Tables!J8,"")</f>
        <v>Latitude and/or Longitude not provided</v>
      </c>
      <c r="N174" s="29"/>
      <c r="O174" s="29"/>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8"/>
      <c r="AM174" s="87">
        <f t="shared" ref="AM174:AM187" si="14">IF(M174="",0,1)</f>
        <v>1</v>
      </c>
    </row>
    <row r="175" spans="2:39" ht="15" customHeight="1" x14ac:dyDescent="0.3">
      <c r="B175" s="26"/>
      <c r="C175" s="27"/>
      <c r="D175" s="27"/>
      <c r="E175" s="27"/>
      <c r="F175" s="27"/>
      <c r="G175" s="27"/>
      <c r="H175" s="27"/>
      <c r="I175" s="27"/>
      <c r="J175" s="27"/>
      <c r="K175" s="29"/>
      <c r="L175" s="29"/>
      <c r="M175" s="27" t="str">
        <f>IF(AND(AR50=1,AR51=1),Tables!$J$15,IF(OR(AR50=3,AR51=3),Tables!$J$15,""))</f>
        <v>Latitude and/or Longitude has been entered as text.  Change to a number.</v>
      </c>
      <c r="N175" s="29"/>
      <c r="O175" s="29"/>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8"/>
      <c r="AM175" s="87">
        <f t="shared" si="14"/>
        <v>1</v>
      </c>
    </row>
    <row r="176" spans="2:39" ht="15" customHeight="1" x14ac:dyDescent="0.3">
      <c r="B176" s="26"/>
      <c r="C176" s="27"/>
      <c r="D176" s="27"/>
      <c r="E176" s="27"/>
      <c r="F176" s="27"/>
      <c r="G176" s="27"/>
      <c r="H176" s="27"/>
      <c r="I176" s="27"/>
      <c r="J176" s="27"/>
      <c r="K176" s="29" t="s">
        <v>142</v>
      </c>
      <c r="L176" s="29"/>
      <c r="M176" s="27" t="str">
        <f>IF(AO59=2,Tables!J9,IF(AM59=1,"",Tables!J9))</f>
        <v>WQv Required &gt; WQv Provided</v>
      </c>
      <c r="N176" s="29"/>
      <c r="O176" s="29"/>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8"/>
      <c r="AM176" s="87">
        <f t="shared" si="14"/>
        <v>1</v>
      </c>
    </row>
    <row r="177" spans="2:39" ht="15" customHeight="1" x14ac:dyDescent="0.3">
      <c r="B177" s="26"/>
      <c r="C177" s="27"/>
      <c r="D177" s="27"/>
      <c r="E177" s="27"/>
      <c r="F177" s="27"/>
      <c r="G177" s="27"/>
      <c r="H177" s="27"/>
      <c r="I177" s="27"/>
      <c r="J177" s="27"/>
      <c r="K177" s="29" t="s">
        <v>395</v>
      </c>
      <c r="L177" s="29"/>
      <c r="M177" s="27" t="str">
        <f>IF(AM62=0,Tables!J21,IF(AM62=1,Tables!J21,""))</f>
        <v>Detention pond bottom slope  &lt; 1.00%</v>
      </c>
      <c r="N177" s="29"/>
      <c r="O177" s="29"/>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8"/>
      <c r="AM177" s="87">
        <f t="shared" si="14"/>
        <v>1</v>
      </c>
    </row>
    <row r="178" spans="2:39" ht="15" customHeight="1" x14ac:dyDescent="0.3">
      <c r="B178" s="26"/>
      <c r="C178" s="27"/>
      <c r="D178" s="27"/>
      <c r="E178" s="27"/>
      <c r="F178" s="27"/>
      <c r="G178" s="27"/>
      <c r="H178" s="27"/>
      <c r="I178" s="27"/>
      <c r="J178" s="27"/>
      <c r="K178" s="93" t="s">
        <v>84</v>
      </c>
      <c r="L178" s="29"/>
      <c r="M178" s="27"/>
      <c r="N178" s="29"/>
      <c r="O178" s="29"/>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8"/>
      <c r="AM178" s="87">
        <f t="shared" si="14"/>
        <v>0</v>
      </c>
    </row>
    <row r="179" spans="2:39" ht="15" customHeight="1" x14ac:dyDescent="0.3">
      <c r="B179" s="26"/>
      <c r="C179" s="27"/>
      <c r="D179" s="27"/>
      <c r="E179" s="27"/>
      <c r="F179" s="27"/>
      <c r="G179" s="27"/>
      <c r="H179" s="27"/>
      <c r="I179" s="27"/>
      <c r="J179" s="27"/>
      <c r="K179" s="29" t="s">
        <v>147</v>
      </c>
      <c r="L179" s="29"/>
      <c r="M179" s="27" t="str">
        <f>IF(AM91&gt;0,Tables!J10,"")</f>
        <v>As-Built does not match Design, provide a reason in the Comments section</v>
      </c>
      <c r="N179" s="29"/>
      <c r="O179" s="29"/>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8"/>
      <c r="AM179" s="87">
        <f t="shared" si="14"/>
        <v>1</v>
      </c>
    </row>
    <row r="180" spans="2:39" ht="15" customHeight="1" x14ac:dyDescent="0.3">
      <c r="B180" s="26"/>
      <c r="C180" s="27"/>
      <c r="D180" s="27"/>
      <c r="E180" s="27"/>
      <c r="F180" s="27"/>
      <c r="G180" s="27"/>
      <c r="H180" s="27"/>
      <c r="I180" s="27"/>
      <c r="J180" s="27"/>
      <c r="K180" s="29" t="s">
        <v>148</v>
      </c>
      <c r="L180" s="29"/>
      <c r="M180" s="27" t="str">
        <f>IF(AN91&gt;0,Tables!J10,"")</f>
        <v>As-Built does not match Design, provide a reason in the Comments section</v>
      </c>
      <c r="N180" s="29"/>
      <c r="O180" s="29"/>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8"/>
      <c r="AM180" s="87">
        <f t="shared" si="14"/>
        <v>1</v>
      </c>
    </row>
    <row r="181" spans="2:39" ht="15" customHeight="1" x14ac:dyDescent="0.3">
      <c r="B181" s="26"/>
      <c r="C181" s="27"/>
      <c r="D181" s="27"/>
      <c r="E181" s="27"/>
      <c r="F181" s="27"/>
      <c r="G181" s="27"/>
      <c r="H181" s="27"/>
      <c r="I181" s="27"/>
      <c r="J181" s="27"/>
      <c r="K181" s="29" t="s">
        <v>77</v>
      </c>
      <c r="L181" s="29"/>
      <c r="M181" s="27" t="str">
        <f>IF(AO91&gt;0,Tables!J7,"")</f>
        <v>Max Stage for 2, 5, 10, 25 and/or 50-year storm  &gt; emergency spillway crest elevation</v>
      </c>
      <c r="N181" s="29"/>
      <c r="O181" s="29"/>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8"/>
      <c r="AM181" s="87">
        <f t="shared" si="14"/>
        <v>1</v>
      </c>
    </row>
    <row r="182" spans="2:39" ht="15" customHeight="1" x14ac:dyDescent="0.3">
      <c r="B182" s="26"/>
      <c r="C182" s="27"/>
      <c r="D182" s="27"/>
      <c r="E182" s="27"/>
      <c r="F182" s="27"/>
      <c r="G182" s="27"/>
      <c r="H182" s="27"/>
      <c r="I182" s="27"/>
      <c r="J182" s="27"/>
      <c r="K182" s="29" t="s">
        <v>172</v>
      </c>
      <c r="L182" s="29"/>
      <c r="M182" s="27" t="str">
        <f>IF(AT91&gt;0,Tables!J18,"")</f>
        <v>Outlet Control Structure Velocity &gt; 6 ft/s</v>
      </c>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8"/>
      <c r="AM182" s="87">
        <f t="shared" si="14"/>
        <v>1</v>
      </c>
    </row>
    <row r="183" spans="2:39" ht="15" customHeight="1" x14ac:dyDescent="0.3">
      <c r="B183" s="26"/>
      <c r="C183" s="27"/>
      <c r="D183" s="27"/>
      <c r="E183" s="27"/>
      <c r="F183" s="27"/>
      <c r="G183" s="27"/>
      <c r="H183" s="27"/>
      <c r="I183" s="27"/>
      <c r="J183" s="27"/>
      <c r="K183" s="29"/>
      <c r="L183" s="29"/>
      <c r="M183" s="27" t="str">
        <f>IF(AP91&gt;0,Tables!J6,"")</f>
        <v>Emergency Spillway Velocity &gt; 6 ft/s</v>
      </c>
      <c r="N183" s="29"/>
      <c r="O183" s="29"/>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8"/>
      <c r="AM183" s="87">
        <f t="shared" si="14"/>
        <v>1</v>
      </c>
    </row>
    <row r="184" spans="2:39" ht="15" customHeight="1" x14ac:dyDescent="0.3">
      <c r="B184" s="26"/>
      <c r="C184" s="27"/>
      <c r="D184" s="27"/>
      <c r="E184" s="27"/>
      <c r="F184" s="27"/>
      <c r="G184" s="27"/>
      <c r="H184" s="27"/>
      <c r="I184" s="27"/>
      <c r="J184" s="27"/>
      <c r="K184" s="29" t="s">
        <v>85</v>
      </c>
      <c r="L184" s="29"/>
      <c r="M184" s="27" t="str">
        <f>IF(OR(AQ91&gt;0,AS91&gt;0),Tables!J5,"")</f>
        <v>Total Post Q &gt; Pre Q</v>
      </c>
      <c r="N184" s="29"/>
      <c r="O184" s="29"/>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8"/>
      <c r="AM184" s="87">
        <f t="shared" si="14"/>
        <v>1</v>
      </c>
    </row>
    <row r="185" spans="2:39" ht="15" customHeight="1" x14ac:dyDescent="0.3">
      <c r="B185" s="26"/>
      <c r="C185" s="27"/>
      <c r="D185" s="27"/>
      <c r="E185" s="27"/>
      <c r="F185" s="27"/>
      <c r="G185" s="27"/>
      <c r="H185" s="27"/>
      <c r="I185" s="27"/>
      <c r="J185" s="27"/>
      <c r="K185" s="29"/>
      <c r="L185" s="29"/>
      <c r="M185" s="27" t="str">
        <f>IF(AQ85="Yes",IF(AND(ISBLANK('Form 2A.1 - Design'!$C$126),ISBLANK('Form 2A.1 - Design'!$F$126)),Tables!$J$14,IF(AND($AQ$91&gt;0,$AP$85=2),Tables!$J$14,"")),"")</f>
        <v/>
      </c>
      <c r="N185" s="29"/>
      <c r="O185" s="29"/>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8"/>
      <c r="AM185" s="87">
        <f t="shared" si="14"/>
        <v>0</v>
      </c>
    </row>
    <row r="186" spans="2:39" ht="15" customHeight="1" x14ac:dyDescent="0.3">
      <c r="B186" s="26"/>
      <c r="C186" s="27"/>
      <c r="D186" s="27"/>
      <c r="E186" s="27"/>
      <c r="F186" s="27"/>
      <c r="G186" s="27"/>
      <c r="H186" s="27"/>
      <c r="I186" s="27"/>
      <c r="J186" s="27"/>
      <c r="K186" s="29"/>
      <c r="L186" s="29"/>
      <c r="M186" s="27" t="str">
        <f>IF(AQ86="Yes",IF(AND(ISBLANK('Form 2A.1 - Design'!$C$128),ISBLANK('Form 2A.1 - Design'!$F$128)),Tables!$J$16,IF(AND($AR$91&gt;0,$AP$86=2),Tables!$J$16,"")),"")</f>
        <v/>
      </c>
      <c r="N186" s="29"/>
      <c r="O186" s="29"/>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8"/>
      <c r="AM186" s="87">
        <f t="shared" si="14"/>
        <v>0</v>
      </c>
    </row>
    <row r="187" spans="2:39" ht="15" customHeight="1" x14ac:dyDescent="0.3">
      <c r="B187" s="30"/>
      <c r="C187" s="31"/>
      <c r="D187" s="31"/>
      <c r="E187" s="31"/>
      <c r="F187" s="31"/>
      <c r="G187" s="31"/>
      <c r="H187" s="31"/>
      <c r="I187" s="31"/>
      <c r="J187" s="31"/>
      <c r="K187" s="99" t="s">
        <v>314</v>
      </c>
      <c r="L187" s="32"/>
      <c r="M187" s="100" t="str">
        <f>IF(AM130=7,Tables!J17,IF(AP130&gt;0,Tables!J17,0))</f>
        <v>All required photographs are not provided</v>
      </c>
      <c r="N187" s="32"/>
      <c r="O187" s="32"/>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3"/>
      <c r="AM187" s="87">
        <f t="shared" si="14"/>
        <v>1</v>
      </c>
    </row>
    <row r="188" spans="2:39" ht="15" customHeight="1" x14ac:dyDescent="0.3"/>
    <row r="189" spans="2:39" ht="15" customHeight="1" x14ac:dyDescent="0.3"/>
    <row r="190" spans="2:39" ht="15" customHeight="1" x14ac:dyDescent="0.3"/>
    <row r="191" spans="2:39" ht="15" customHeight="1" x14ac:dyDescent="0.3"/>
    <row r="192" spans="2:39" ht="15" customHeight="1" x14ac:dyDescent="0.3"/>
    <row r="193" spans="2:18" ht="15" customHeight="1" x14ac:dyDescent="0.3"/>
    <row r="194" spans="2:18" ht="15" customHeight="1" x14ac:dyDescent="0.3"/>
    <row r="195" spans="2:18" ht="15" customHeight="1" x14ac:dyDescent="0.3"/>
    <row r="196" spans="2:18" ht="15" customHeight="1" x14ac:dyDescent="0.3">
      <c r="B196" s="216">
        <f>Tables!$F$13</f>
        <v>46266</v>
      </c>
      <c r="C196" s="216"/>
      <c r="D196" s="216"/>
      <c r="E196" s="216"/>
      <c r="F196" s="216"/>
      <c r="G196" s="216"/>
      <c r="H196" s="216"/>
      <c r="I196" s="68"/>
      <c r="R196" s="4" t="s">
        <v>248</v>
      </c>
    </row>
    <row r="197" spans="2:18" ht="15" customHeight="1" x14ac:dyDescent="0.3"/>
    <row r="198" spans="2:18" ht="15" customHeight="1" x14ac:dyDescent="0.3"/>
    <row r="199" spans="2:18" ht="15" customHeight="1" x14ac:dyDescent="0.3"/>
    <row r="200" spans="2:18" ht="15" customHeight="1" x14ac:dyDescent="0.3"/>
    <row r="201" spans="2:18" ht="15" customHeight="1" x14ac:dyDescent="0.3"/>
    <row r="202" spans="2:18" ht="15" hidden="1" customHeight="1" x14ac:dyDescent="0.3"/>
    <row r="203" spans="2:18" ht="15" hidden="1" customHeight="1" x14ac:dyDescent="0.3"/>
    <row r="204" spans="2:18" ht="15" hidden="1" customHeight="1" x14ac:dyDescent="0.3"/>
    <row r="205" spans="2:18" ht="15" hidden="1" customHeight="1" x14ac:dyDescent="0.3"/>
    <row r="206" spans="2:18" ht="15" hidden="1" customHeight="1" x14ac:dyDescent="0.3"/>
    <row r="207" spans="2:18" ht="15" hidden="1" customHeight="1" x14ac:dyDescent="0.3"/>
    <row r="208" spans="2:18" ht="15" hidden="1" customHeight="1" x14ac:dyDescent="0.3"/>
    <row r="209" ht="15" hidden="1" customHeight="1" x14ac:dyDescent="0.3"/>
    <row r="210" ht="15" hidden="1" customHeight="1" x14ac:dyDescent="0.3"/>
    <row r="211" ht="15" hidden="1" customHeight="1" x14ac:dyDescent="0.3"/>
    <row r="212" ht="15" hidden="1" customHeight="1" x14ac:dyDescent="0.3"/>
    <row r="213" ht="15" hidden="1" customHeight="1" x14ac:dyDescent="0.3"/>
    <row r="214" ht="15" hidden="1" customHeight="1" x14ac:dyDescent="0.3"/>
    <row r="215" ht="15" hidden="1" customHeight="1" x14ac:dyDescent="0.3"/>
    <row r="216" ht="15" hidden="1" customHeight="1" x14ac:dyDescent="0.3"/>
    <row r="217" ht="15" hidden="1" customHeight="1" x14ac:dyDescent="0.3"/>
    <row r="218" ht="15" hidden="1" customHeight="1" x14ac:dyDescent="0.3"/>
    <row r="219" ht="15" hidden="1" customHeight="1" x14ac:dyDescent="0.3"/>
    <row r="220" ht="15" hidden="1" customHeight="1" x14ac:dyDescent="0.3"/>
    <row r="221" ht="15" hidden="1" customHeight="1" x14ac:dyDescent="0.3"/>
    <row r="222" ht="15" hidden="1" customHeight="1" x14ac:dyDescent="0.3"/>
    <row r="223" ht="15" hidden="1" customHeight="1" x14ac:dyDescent="0.3"/>
    <row r="224" ht="15" hidden="1" customHeight="1" x14ac:dyDescent="0.3"/>
    <row r="225" ht="15" hidden="1" customHeight="1" x14ac:dyDescent="0.3"/>
    <row r="226" ht="15" hidden="1" customHeight="1" x14ac:dyDescent="0.3"/>
    <row r="227" ht="15" hidden="1" customHeight="1" x14ac:dyDescent="0.3"/>
    <row r="228" ht="15" hidden="1" customHeight="1" x14ac:dyDescent="0.3"/>
    <row r="229" ht="15" hidden="1" customHeight="1" x14ac:dyDescent="0.3"/>
    <row r="230" ht="15" hidden="1" customHeight="1" x14ac:dyDescent="0.3"/>
    <row r="231" ht="15" hidden="1" customHeight="1" x14ac:dyDescent="0.3"/>
    <row r="232" ht="15" hidden="1" customHeight="1" x14ac:dyDescent="0.3"/>
    <row r="233" ht="15" hidden="1" customHeight="1" x14ac:dyDescent="0.3"/>
    <row r="234" ht="15" hidden="1" customHeight="1" x14ac:dyDescent="0.3"/>
    <row r="235" ht="15" hidden="1" customHeight="1" x14ac:dyDescent="0.3"/>
  </sheetData>
  <sheetProtection algorithmName="SHA-512" hashValue="ap7QxA5FHuja9hERgTGwU+noSYBhK2cM1jJz3FvT2uQZVyZnIJnreVdMPEypzhm98RqIbg7mRJ/pyJFzF/8j9A==" saltValue="PtCLbR9oF5oN3Vpyc73fGA==" spinCount="100000" sheet="1" objects="1" scenarios="1" selectLockedCells="1"/>
  <mergeCells count="374">
    <mergeCell ref="B196:H196"/>
    <mergeCell ref="W68:Y68"/>
    <mergeCell ref="AD89:AF89"/>
    <mergeCell ref="AH87:AK87"/>
    <mergeCell ref="Z119:AK119"/>
    <mergeCell ref="AH68:AK68"/>
    <mergeCell ref="AH69:AK69"/>
    <mergeCell ref="AH70:AK70"/>
    <mergeCell ref="AH76:AK76"/>
    <mergeCell ref="AB76:AE76"/>
    <mergeCell ref="AB73:AE73"/>
    <mergeCell ref="AB74:AE74"/>
    <mergeCell ref="AH71:AK71"/>
    <mergeCell ref="AH72:AK72"/>
    <mergeCell ref="AH73:AK73"/>
    <mergeCell ref="AB71:AE71"/>
    <mergeCell ref="AB75:AE75"/>
    <mergeCell ref="Y87:AB87"/>
    <mergeCell ref="U86:W86"/>
    <mergeCell ref="U95:W95"/>
    <mergeCell ref="U94:W94"/>
    <mergeCell ref="AG102:AK102"/>
    <mergeCell ref="AB70:AE70"/>
    <mergeCell ref="Y86:AB86"/>
    <mergeCell ref="AB68:AE68"/>
    <mergeCell ref="Z126:AK126"/>
    <mergeCell ref="W70:Y70"/>
    <mergeCell ref="AB69:AE69"/>
    <mergeCell ref="W77:Y77"/>
    <mergeCell ref="W69:Y69"/>
    <mergeCell ref="AH77:AK77"/>
    <mergeCell ref="W73:Y73"/>
    <mergeCell ref="W74:Y74"/>
    <mergeCell ref="W75:Y75"/>
    <mergeCell ref="W72:Y72"/>
    <mergeCell ref="AB72:AE72"/>
    <mergeCell ref="W76:Y76"/>
    <mergeCell ref="U85:W85"/>
    <mergeCell ref="W71:Y71"/>
    <mergeCell ref="Y83:AB83"/>
    <mergeCell ref="Z125:AC125"/>
    <mergeCell ref="AH125:AK125"/>
    <mergeCell ref="AH118:AK118"/>
    <mergeCell ref="F117:V117"/>
    <mergeCell ref="I93:K93"/>
    <mergeCell ref="M91:O91"/>
    <mergeCell ref="M97:O97"/>
    <mergeCell ref="M96:O96"/>
    <mergeCell ref="A82:AL82"/>
    <mergeCell ref="C73:E73"/>
    <mergeCell ref="H71:K71"/>
    <mergeCell ref="AD83:AF83"/>
    <mergeCell ref="C88:D88"/>
    <mergeCell ref="H77:K77"/>
    <mergeCell ref="AH86:AK86"/>
    <mergeCell ref="C87:D87"/>
    <mergeCell ref="C84:D84"/>
    <mergeCell ref="C85:D85"/>
    <mergeCell ref="N71:Q71"/>
    <mergeCell ref="N72:Q72"/>
    <mergeCell ref="N73:Q73"/>
    <mergeCell ref="Q85:S85"/>
    <mergeCell ref="I84:K84"/>
    <mergeCell ref="Q84:S84"/>
    <mergeCell ref="U88:W88"/>
    <mergeCell ref="U87:W87"/>
    <mergeCell ref="M84:O84"/>
    <mergeCell ref="Q83:S83"/>
    <mergeCell ref="I87:K87"/>
    <mergeCell ref="C86:D86"/>
    <mergeCell ref="Q88:S88"/>
    <mergeCell ref="Q87:S87"/>
    <mergeCell ref="U84:W84"/>
    <mergeCell ref="M92:O92"/>
    <mergeCell ref="M83:O83"/>
    <mergeCell ref="U83:W83"/>
    <mergeCell ref="C89:D89"/>
    <mergeCell ref="U93:W93"/>
    <mergeCell ref="Q91:S91"/>
    <mergeCell ref="Q93:S93"/>
    <mergeCell ref="Q92:S92"/>
    <mergeCell ref="Q89:S89"/>
    <mergeCell ref="U89:W89"/>
    <mergeCell ref="U91:W91"/>
    <mergeCell ref="M89:O89"/>
    <mergeCell ref="I89:K89"/>
    <mergeCell ref="I88:K88"/>
    <mergeCell ref="I91:K91"/>
    <mergeCell ref="F125:V125"/>
    <mergeCell ref="F123:V123"/>
    <mergeCell ref="F120:V120"/>
    <mergeCell ref="F116:V116"/>
    <mergeCell ref="F119:V119"/>
    <mergeCell ref="F118:V118"/>
    <mergeCell ref="I92:K92"/>
    <mergeCell ref="AH93:AK93"/>
    <mergeCell ref="AH94:AK94"/>
    <mergeCell ref="M94:O94"/>
    <mergeCell ref="B100:H100"/>
    <mergeCell ref="M95:O95"/>
    <mergeCell ref="U92:W92"/>
    <mergeCell ref="C93:D93"/>
    <mergeCell ref="C92:D92"/>
    <mergeCell ref="AH91:AK91"/>
    <mergeCell ref="Q97:S97"/>
    <mergeCell ref="AH92:AK92"/>
    <mergeCell ref="Y97:AB97"/>
    <mergeCell ref="Y96:AB96"/>
    <mergeCell ref="F124:V124"/>
    <mergeCell ref="AG120:AK120"/>
    <mergeCell ref="Y94:AB94"/>
    <mergeCell ref="AD97:AF97"/>
    <mergeCell ref="AH96:AK96"/>
    <mergeCell ref="AH97:AK97"/>
    <mergeCell ref="D101:Z101"/>
    <mergeCell ref="AG101:AK101"/>
    <mergeCell ref="B104:AK113"/>
    <mergeCell ref="C94:D94"/>
    <mergeCell ref="C95:D95"/>
    <mergeCell ref="C96:D96"/>
    <mergeCell ref="Y95:AB95"/>
    <mergeCell ref="I95:K95"/>
    <mergeCell ref="I94:K94"/>
    <mergeCell ref="AH95:AK95"/>
    <mergeCell ref="C97:D97"/>
    <mergeCell ref="I97:K97"/>
    <mergeCell ref="U97:W97"/>
    <mergeCell ref="Q34:S34"/>
    <mergeCell ref="I33:K33"/>
    <mergeCell ref="C68:E68"/>
    <mergeCell ref="Q86:S86"/>
    <mergeCell ref="M88:O88"/>
    <mergeCell ref="M87:O87"/>
    <mergeCell ref="H72:K72"/>
    <mergeCell ref="H73:K73"/>
    <mergeCell ref="H74:K74"/>
    <mergeCell ref="H75:K75"/>
    <mergeCell ref="H76:K76"/>
    <mergeCell ref="C72:E72"/>
    <mergeCell ref="C74:E74"/>
    <mergeCell ref="C75:E75"/>
    <mergeCell ref="C76:E76"/>
    <mergeCell ref="H70:K70"/>
    <mergeCell ref="I83:K83"/>
    <mergeCell ref="N70:Q70"/>
    <mergeCell ref="C70:E70"/>
    <mergeCell ref="C77:E77"/>
    <mergeCell ref="N75:Q75"/>
    <mergeCell ref="N76:Q76"/>
    <mergeCell ref="N77:Q77"/>
    <mergeCell ref="C71:E71"/>
    <mergeCell ref="H69:K69"/>
    <mergeCell ref="K59:M59"/>
    <mergeCell ref="J50:M50"/>
    <mergeCell ref="N69:Q69"/>
    <mergeCell ref="C69:E69"/>
    <mergeCell ref="C67:E67"/>
    <mergeCell ref="C66:E66"/>
    <mergeCell ref="N66:Q66"/>
    <mergeCell ref="J51:M51"/>
    <mergeCell ref="Q59:S59"/>
    <mergeCell ref="C63:F63"/>
    <mergeCell ref="H63:L63"/>
    <mergeCell ref="N68:Q68"/>
    <mergeCell ref="H68:K68"/>
    <mergeCell ref="B54:H54"/>
    <mergeCell ref="O45:R45"/>
    <mergeCell ref="Q32:S32"/>
    <mergeCell ref="E45:H45"/>
    <mergeCell ref="E16:H16"/>
    <mergeCell ref="L16:O16"/>
    <mergeCell ref="E17:G17"/>
    <mergeCell ref="N67:Q67"/>
    <mergeCell ref="E46:G46"/>
    <mergeCell ref="H64:K64"/>
    <mergeCell ref="H65:K65"/>
    <mergeCell ref="H66:K66"/>
    <mergeCell ref="H67:K67"/>
    <mergeCell ref="I34:K34"/>
    <mergeCell ref="Q33:S33"/>
    <mergeCell ref="E33:G33"/>
    <mergeCell ref="E34:G34"/>
    <mergeCell ref="E30:G30"/>
    <mergeCell ref="E31:G31"/>
    <mergeCell ref="M29:O29"/>
    <mergeCell ref="M30:O30"/>
    <mergeCell ref="I31:K31"/>
    <mergeCell ref="M31:O31"/>
    <mergeCell ref="I29:K29"/>
    <mergeCell ref="E32:G32"/>
    <mergeCell ref="E39:G39"/>
    <mergeCell ref="M39:O39"/>
    <mergeCell ref="X39:Z39"/>
    <mergeCell ref="AF39:AH39"/>
    <mergeCell ref="R54:U54"/>
    <mergeCell ref="W64:Y64"/>
    <mergeCell ref="AV6:BI7"/>
    <mergeCell ref="AI24:AK24"/>
    <mergeCell ref="AI25:AK25"/>
    <mergeCell ref="AG56:AK56"/>
    <mergeCell ref="W32:Y32"/>
    <mergeCell ref="W33:Y33"/>
    <mergeCell ref="AA24:AC24"/>
    <mergeCell ref="AA25:AC25"/>
    <mergeCell ref="AA29:AC29"/>
    <mergeCell ref="AA30:AC30"/>
    <mergeCell ref="AA31:AC31"/>
    <mergeCell ref="AA32:AC32"/>
    <mergeCell ref="AA33:AC33"/>
    <mergeCell ref="V24:Y24"/>
    <mergeCell ref="V25:Y25"/>
    <mergeCell ref="E7:Z7"/>
    <mergeCell ref="E8:Z8"/>
    <mergeCell ref="E24:G24"/>
    <mergeCell ref="W66:Y66"/>
    <mergeCell ref="AH64:AK64"/>
    <mergeCell ref="AH65:AK65"/>
    <mergeCell ref="AH66:AK66"/>
    <mergeCell ref="AH67:AK67"/>
    <mergeCell ref="AI59:AK59"/>
    <mergeCell ref="AC59:AE59"/>
    <mergeCell ref="Q31:S31"/>
    <mergeCell ref="AE33:AG33"/>
    <mergeCell ref="AE31:AG31"/>
    <mergeCell ref="W67:Y67"/>
    <mergeCell ref="AB67:AE67"/>
    <mergeCell ref="AB65:AE65"/>
    <mergeCell ref="X41:Y41"/>
    <mergeCell ref="AG55:AK55"/>
    <mergeCell ref="D55:Z55"/>
    <mergeCell ref="C64:E64"/>
    <mergeCell ref="W65:Y65"/>
    <mergeCell ref="H38:P38"/>
    <mergeCell ref="E41:F41"/>
    <mergeCell ref="C65:E65"/>
    <mergeCell ref="N64:Q64"/>
    <mergeCell ref="N65:Q65"/>
    <mergeCell ref="AA38:AI38"/>
    <mergeCell ref="E25:G25"/>
    <mergeCell ref="L18:N18"/>
    <mergeCell ref="L19:N19"/>
    <mergeCell ref="I24:K24"/>
    <mergeCell ref="W30:Y30"/>
    <mergeCell ref="AI29:AK29"/>
    <mergeCell ref="AI30:AK30"/>
    <mergeCell ref="E19:G19"/>
    <mergeCell ref="Q24:S24"/>
    <mergeCell ref="Q25:S25"/>
    <mergeCell ref="E29:G29"/>
    <mergeCell ref="I25:K25"/>
    <mergeCell ref="E18:G18"/>
    <mergeCell ref="W29:Y29"/>
    <mergeCell ref="Q30:S30"/>
    <mergeCell ref="Q29:S29"/>
    <mergeCell ref="AF7:AK7"/>
    <mergeCell ref="AF8:AK8"/>
    <mergeCell ref="R100:U100"/>
    <mergeCell ref="M32:O32"/>
    <mergeCell ref="M33:O33"/>
    <mergeCell ref="M34:O34"/>
    <mergeCell ref="M24:O24"/>
    <mergeCell ref="M25:O25"/>
    <mergeCell ref="B29:D29"/>
    <mergeCell ref="B30:D30"/>
    <mergeCell ref="B31:D31"/>
    <mergeCell ref="B32:D32"/>
    <mergeCell ref="B33:D33"/>
    <mergeCell ref="B34:D34"/>
    <mergeCell ref="I30:K30"/>
    <mergeCell ref="M86:O86"/>
    <mergeCell ref="M85:O85"/>
    <mergeCell ref="I32:K32"/>
    <mergeCell ref="E47:G47"/>
    <mergeCell ref="I85:K85"/>
    <mergeCell ref="Y85:AB85"/>
    <mergeCell ref="AH85:AK85"/>
    <mergeCell ref="U96:W96"/>
    <mergeCell ref="I96:K96"/>
    <mergeCell ref="AF170:AK170"/>
    <mergeCell ref="AI33:AK33"/>
    <mergeCell ref="AI31:AK31"/>
    <mergeCell ref="E166:I166"/>
    <mergeCell ref="AC168:AG168"/>
    <mergeCell ref="E161:Y161"/>
    <mergeCell ref="E162:Y162"/>
    <mergeCell ref="E163:Y163"/>
    <mergeCell ref="E164:K164"/>
    <mergeCell ref="O164:R164"/>
    <mergeCell ref="W164:Y164"/>
    <mergeCell ref="E165:Y165"/>
    <mergeCell ref="B156:AK159"/>
    <mergeCell ref="AG153:AK153"/>
    <mergeCell ref="D152:Z152"/>
    <mergeCell ref="AG152:AK152"/>
    <mergeCell ref="X144:Y144"/>
    <mergeCell ref="AB144:AH144"/>
    <mergeCell ref="X134:Y134"/>
    <mergeCell ref="AB134:AH134"/>
    <mergeCell ref="X136:Y136"/>
    <mergeCell ref="AB136:AH136"/>
    <mergeCell ref="X138:Y138"/>
    <mergeCell ref="AB138:AH138"/>
    <mergeCell ref="X140:Y140"/>
    <mergeCell ref="AB140:AH140"/>
    <mergeCell ref="X142:Y142"/>
    <mergeCell ref="AB142:AH142"/>
    <mergeCell ref="B151:H151"/>
    <mergeCell ref="F126:V126"/>
    <mergeCell ref="F127:V127"/>
    <mergeCell ref="W130:Z130"/>
    <mergeCell ref="I86:K86"/>
    <mergeCell ref="Y89:AB89"/>
    <mergeCell ref="Y92:AB92"/>
    <mergeCell ref="M93:O93"/>
    <mergeCell ref="Y93:AB93"/>
    <mergeCell ref="Z118:AC118"/>
    <mergeCell ref="AB130:AH130"/>
    <mergeCell ref="AD91:AF91"/>
    <mergeCell ref="AH88:AK88"/>
    <mergeCell ref="AH89:AK89"/>
    <mergeCell ref="Y88:AB88"/>
    <mergeCell ref="Y91:AB91"/>
    <mergeCell ref="AG127:AK127"/>
    <mergeCell ref="Q96:S96"/>
    <mergeCell ref="Q95:S95"/>
    <mergeCell ref="Q94:S94"/>
    <mergeCell ref="A14:AL14"/>
    <mergeCell ref="A43:AL43"/>
    <mergeCell ref="A49:AL49"/>
    <mergeCell ref="A37:AL37"/>
    <mergeCell ref="A58:AL58"/>
    <mergeCell ref="A61:AL61"/>
    <mergeCell ref="Y19:AA19"/>
    <mergeCell ref="AE24:AG24"/>
    <mergeCell ref="AE25:AG25"/>
    <mergeCell ref="AH16:AK16"/>
    <mergeCell ref="AH18:AJ18"/>
    <mergeCell ref="AH19:AJ19"/>
    <mergeCell ref="Y16:AB16"/>
    <mergeCell ref="Y17:AA17"/>
    <mergeCell ref="W31:Y31"/>
    <mergeCell ref="AE29:AG29"/>
    <mergeCell ref="AE30:AG30"/>
    <mergeCell ref="AI32:AK32"/>
    <mergeCell ref="AE32:AG32"/>
    <mergeCell ref="Y18:AA18"/>
    <mergeCell ref="AE34:AG34"/>
    <mergeCell ref="W34:Y34"/>
    <mergeCell ref="AA34:AC34"/>
    <mergeCell ref="AI34:AK34"/>
    <mergeCell ref="V1:AL4"/>
    <mergeCell ref="BL1:CA4"/>
    <mergeCell ref="AD6:AK6"/>
    <mergeCell ref="AH84:AK84"/>
    <mergeCell ref="Y84:AB84"/>
    <mergeCell ref="AB77:AE77"/>
    <mergeCell ref="O47:Q47"/>
    <mergeCell ref="Y46:AA46"/>
    <mergeCell ref="Y47:AA47"/>
    <mergeCell ref="O46:Q46"/>
    <mergeCell ref="AH45:AK45"/>
    <mergeCell ref="AB66:AE66"/>
    <mergeCell ref="O78:P78"/>
    <mergeCell ref="AI78:AJ78"/>
    <mergeCell ref="Y45:AB45"/>
    <mergeCell ref="AH46:AJ46"/>
    <mergeCell ref="AH47:AJ47"/>
    <mergeCell ref="AH74:AK74"/>
    <mergeCell ref="AH75:AK75"/>
    <mergeCell ref="AD50:AG50"/>
    <mergeCell ref="AD51:AG51"/>
    <mergeCell ref="AB64:AE64"/>
    <mergeCell ref="N74:Q74"/>
    <mergeCell ref="AH83:AK83"/>
  </mergeCells>
  <conditionalFormatting sqref="B104:AK113">
    <cfRule type="cellIs" priority="119" stopIfTrue="1" operator="greaterThan">
      <formula>0</formula>
    </cfRule>
    <cfRule type="expression" dxfId="106" priority="120">
      <formula>$AM$171&gt;0</formula>
    </cfRule>
  </conditionalFormatting>
  <conditionalFormatting sqref="D55">
    <cfRule type="cellIs" dxfId="105" priority="128" operator="equal">
      <formula>0</formula>
    </cfRule>
  </conditionalFormatting>
  <conditionalFormatting sqref="D101">
    <cfRule type="cellIs" dxfId="104" priority="127" operator="equal">
      <formula>0</formula>
    </cfRule>
  </conditionalFormatting>
  <conditionalFormatting sqref="D132 F132 F116:F120 Z126 AG127">
    <cfRule type="expression" dxfId="103" priority="115">
      <formula>ISBLANK(D116)</formula>
    </cfRule>
  </conditionalFormatting>
  <conditionalFormatting sqref="D134 F134">
    <cfRule type="expression" dxfId="102" priority="90">
      <formula>ISBLANK(D134)</formula>
    </cfRule>
  </conditionalFormatting>
  <conditionalFormatting sqref="D136 F136">
    <cfRule type="expression" dxfId="101" priority="87">
      <formula>ISBLANK(D136)</formula>
    </cfRule>
  </conditionalFormatting>
  <conditionalFormatting sqref="D138 F138">
    <cfRule type="expression" dxfId="100" priority="84">
      <formula>ISBLANK(D138)</formula>
    </cfRule>
  </conditionalFormatting>
  <conditionalFormatting sqref="D140 F140">
    <cfRule type="expression" dxfId="99" priority="81">
      <formula>ISBLANK(D140)</formula>
    </cfRule>
  </conditionalFormatting>
  <conditionalFormatting sqref="D142 F142">
    <cfRule type="expression" dxfId="98" priority="66">
      <formula>ISBLANK(D142)</formula>
    </cfRule>
  </conditionalFormatting>
  <conditionalFormatting sqref="D144 F144">
    <cfRule type="expression" dxfId="97" priority="57">
      <formula>ISBLANK(D144)</formula>
    </cfRule>
  </conditionalFormatting>
  <conditionalFormatting sqref="D152">
    <cfRule type="cellIs" dxfId="96" priority="124" operator="equal">
      <formula>0</formula>
    </cfRule>
  </conditionalFormatting>
  <conditionalFormatting sqref="E7:E8 AF8 AG55:AG56 AG101:AG102 AG152:AG153">
    <cfRule type="cellIs" dxfId="95" priority="135" operator="equal">
      <formula>0</formula>
    </cfRule>
  </conditionalFormatting>
  <conditionalFormatting sqref="E161:E162">
    <cfRule type="expression" dxfId="94" priority="63">
      <formula>ISBLANK(E161)</formula>
    </cfRule>
  </conditionalFormatting>
  <conditionalFormatting sqref="E163:Y163 E164:E166">
    <cfRule type="expression" dxfId="93" priority="61">
      <formula>ISBLANK(E163)</formula>
    </cfRule>
  </conditionalFormatting>
  <conditionalFormatting sqref="F123:F127">
    <cfRule type="expression" dxfId="92" priority="264">
      <formula>ISBLANK(F123)</formula>
    </cfRule>
  </conditionalFormatting>
  <conditionalFormatting sqref="F132 D132">
    <cfRule type="expression" priority="114" stopIfTrue="1">
      <formula>$AM$132=2</formula>
    </cfRule>
  </conditionalFormatting>
  <conditionalFormatting sqref="F132">
    <cfRule type="expression" dxfId="91" priority="107">
      <formula>$AN$132=2</formula>
    </cfRule>
  </conditionalFormatting>
  <conditionalFormatting sqref="F134 D134">
    <cfRule type="expression" priority="89" stopIfTrue="1">
      <formula>$AM$134=2</formula>
    </cfRule>
  </conditionalFormatting>
  <conditionalFormatting sqref="F134">
    <cfRule type="expression" dxfId="90" priority="88">
      <formula>$AN$134=2</formula>
    </cfRule>
  </conditionalFormatting>
  <conditionalFormatting sqref="F136 D136">
    <cfRule type="expression" priority="86" stopIfTrue="1">
      <formula>$AM$136=2</formula>
    </cfRule>
  </conditionalFormatting>
  <conditionalFormatting sqref="F136">
    <cfRule type="expression" dxfId="89" priority="85">
      <formula>$AN$136=2</formula>
    </cfRule>
  </conditionalFormatting>
  <conditionalFormatting sqref="F138 D138">
    <cfRule type="expression" priority="83" stopIfTrue="1">
      <formula>$AM$138=2</formula>
    </cfRule>
  </conditionalFormatting>
  <conditionalFormatting sqref="F138">
    <cfRule type="expression" dxfId="88" priority="82">
      <formula>$AN$138=2</formula>
    </cfRule>
  </conditionalFormatting>
  <conditionalFormatting sqref="F140 D140">
    <cfRule type="expression" priority="80" stopIfTrue="1">
      <formula>$AM$140=2</formula>
    </cfRule>
  </conditionalFormatting>
  <conditionalFormatting sqref="F140">
    <cfRule type="expression" dxfId="87" priority="79">
      <formula>$AN$140=2</formula>
    </cfRule>
  </conditionalFormatting>
  <conditionalFormatting sqref="F142 D142">
    <cfRule type="expression" priority="65" stopIfTrue="1">
      <formula>$AM$142=2</formula>
    </cfRule>
  </conditionalFormatting>
  <conditionalFormatting sqref="F142">
    <cfRule type="expression" dxfId="86" priority="64">
      <formula>$AN$142=2</formula>
    </cfRule>
  </conditionalFormatting>
  <conditionalFormatting sqref="F144 D144">
    <cfRule type="expression" priority="56" stopIfTrue="1">
      <formula>$AM$144=2</formula>
    </cfRule>
  </conditionalFormatting>
  <conditionalFormatting sqref="F144">
    <cfRule type="expression" dxfId="85" priority="55">
      <formula>$AN$144=2</formula>
    </cfRule>
  </conditionalFormatting>
  <conditionalFormatting sqref="G10 O10 AB10 AB12">
    <cfRule type="expression" dxfId="84" priority="141">
      <formula>ISBLANK(G10)</formula>
    </cfRule>
  </conditionalFormatting>
  <conditionalFormatting sqref="G12">
    <cfRule type="expression" dxfId="83" priority="4">
      <formula>ISBLANK(G12)</formula>
    </cfRule>
  </conditionalFormatting>
  <conditionalFormatting sqref="I92:I97">
    <cfRule type="cellIs" dxfId="82" priority="336" operator="notEqual">
      <formula>$I84</formula>
    </cfRule>
    <cfRule type="expression" dxfId="81" priority="335" stopIfTrue="1">
      <formula>ISBLANK(I92)</formula>
    </cfRule>
  </conditionalFormatting>
  <conditionalFormatting sqref="M92:M97">
    <cfRule type="cellIs" dxfId="80" priority="1336" operator="notEqual">
      <formula>$M84</formula>
    </cfRule>
    <cfRule type="expression" dxfId="79" priority="1335" stopIfTrue="1">
      <formula>ISBLANK(M92)</formula>
    </cfRule>
  </conditionalFormatting>
  <conditionalFormatting sqref="O164 W164">
    <cfRule type="expression" dxfId="78" priority="60">
      <formula>ISBLANK(O164)</formula>
    </cfRule>
  </conditionalFormatting>
  <conditionalFormatting sqref="Q84:Q89 U84:U89 AD89">
    <cfRule type="expression" dxfId="77" priority="236">
      <formula>ISBLANK(Q84)</formula>
    </cfRule>
  </conditionalFormatting>
  <conditionalFormatting sqref="U92:U95">
    <cfRule type="cellIs" dxfId="76" priority="326" operator="greaterThan">
      <formula>$Y$47</formula>
    </cfRule>
  </conditionalFormatting>
  <conditionalFormatting sqref="U97">
    <cfRule type="expression" dxfId="75" priority="47">
      <formula>$AO$97&lt;1</formula>
    </cfRule>
  </conditionalFormatting>
  <conditionalFormatting sqref="U96:W96">
    <cfRule type="cellIs" dxfId="74" priority="1" operator="greaterThan">
      <formula>$Y$47</formula>
    </cfRule>
  </conditionalFormatting>
  <conditionalFormatting sqref="W64">
    <cfRule type="expression" dxfId="73" priority="332">
      <formula>ISBLANK($W$64)</formula>
    </cfRule>
    <cfRule type="cellIs" priority="331" operator="greaterThan">
      <formula>0</formula>
    </cfRule>
  </conditionalFormatting>
  <conditionalFormatting sqref="X134 AB134">
    <cfRule type="cellIs" priority="77" stopIfTrue="1" operator="greaterThan">
      <formula>0</formula>
    </cfRule>
    <cfRule type="expression" dxfId="72" priority="78">
      <formula>$AO$134=2</formula>
    </cfRule>
  </conditionalFormatting>
  <conditionalFormatting sqref="X136 AB136">
    <cfRule type="cellIs" priority="75" stopIfTrue="1" operator="greaterThan">
      <formula>0</formula>
    </cfRule>
    <cfRule type="expression" dxfId="71" priority="76">
      <formula>$AO$136=2</formula>
    </cfRule>
  </conditionalFormatting>
  <conditionalFormatting sqref="X138 AB138">
    <cfRule type="expression" dxfId="70" priority="74">
      <formula>$AO$138=2</formula>
    </cfRule>
    <cfRule type="cellIs" priority="73" stopIfTrue="1" operator="greaterThan">
      <formula>0</formula>
    </cfRule>
  </conditionalFormatting>
  <conditionalFormatting sqref="X140 AB140">
    <cfRule type="expression" dxfId="69" priority="72">
      <formula>$AO$140=2</formula>
    </cfRule>
    <cfRule type="cellIs" priority="71" stopIfTrue="1" operator="greaterThan">
      <formula>0</formula>
    </cfRule>
  </conditionalFormatting>
  <conditionalFormatting sqref="X142 AB142">
    <cfRule type="expression" dxfId="68" priority="54">
      <formula>$AO$142=2</formula>
    </cfRule>
    <cfRule type="cellIs" priority="53" stopIfTrue="1" operator="greaterThan">
      <formula>0</formula>
    </cfRule>
  </conditionalFormatting>
  <conditionalFormatting sqref="X144 AB144">
    <cfRule type="expression" dxfId="67" priority="52">
      <formula>$AO$144=2</formula>
    </cfRule>
    <cfRule type="cellIs" priority="51" stopIfTrue="1" operator="greaterThan">
      <formula>0</formula>
    </cfRule>
  </conditionalFormatting>
  <conditionalFormatting sqref="Y16">
    <cfRule type="expression" dxfId="66" priority="211">
      <formula>ISBLANK(Y16)</formula>
    </cfRule>
  </conditionalFormatting>
  <conditionalFormatting sqref="Y17">
    <cfRule type="expression" priority="132" stopIfTrue="1">
      <formula>$AM$18=2</formula>
    </cfRule>
    <cfRule type="cellIs" priority="133" stopIfTrue="1" operator="greaterThan">
      <formula>0</formula>
    </cfRule>
    <cfRule type="expression" dxfId="65" priority="134">
      <formula>$AM$17=1</formula>
    </cfRule>
  </conditionalFormatting>
  <conditionalFormatting sqref="Y18 AH18 AK18">
    <cfRule type="expression" dxfId="64" priority="131">
      <formula>$AM$18</formula>
    </cfRule>
    <cfRule type="expression" priority="129" stopIfTrue="1">
      <formula>$AM$17=2</formula>
    </cfRule>
    <cfRule type="cellIs" priority="130" stopIfTrue="1" operator="greaterThan">
      <formula>0</formula>
    </cfRule>
  </conditionalFormatting>
  <conditionalFormatting sqref="Y19 AH19 AK19 V24:V25">
    <cfRule type="expression" dxfId="63" priority="209">
      <formula>ISBLANK(V19)</formula>
    </cfRule>
  </conditionalFormatting>
  <conditionalFormatting sqref="Y21 AC21">
    <cfRule type="expression" dxfId="62" priority="348">
      <formula>$AM$21=1</formula>
    </cfRule>
  </conditionalFormatting>
  <conditionalFormatting sqref="Y45:Y47 AH45:AH47">
    <cfRule type="expression" dxfId="61" priority="188">
      <formula>ISBLANK(Y45)</formula>
    </cfRule>
  </conditionalFormatting>
  <conditionalFormatting sqref="Y84:Y89 Y92:Y97 AD97">
    <cfRule type="cellIs" dxfId="60" priority="39" operator="greaterThan">
      <formula>$AP$82</formula>
    </cfRule>
  </conditionalFormatting>
  <conditionalFormatting sqref="Y84:Y89">
    <cfRule type="expression" dxfId="59" priority="38">
      <formula>ISBLANK(Y84)</formula>
    </cfRule>
  </conditionalFormatting>
  <conditionalFormatting sqref="Y92:Y97">
    <cfRule type="expression" dxfId="58" priority="37" stopIfTrue="1">
      <formula>ISBLANK(Y92)</formula>
    </cfRule>
  </conditionalFormatting>
  <conditionalFormatting sqref="Z118:Z119">
    <cfRule type="expression" dxfId="57" priority="2">
      <formula>ISBLANK(Z118)</formula>
    </cfRule>
  </conditionalFormatting>
  <conditionalFormatting sqref="Z119">
    <cfRule type="expression" priority="3" stopIfTrue="1">
      <formula>$AN$122=2</formula>
    </cfRule>
  </conditionalFormatting>
  <conditionalFormatting sqref="Z122">
    <cfRule type="expression" dxfId="56" priority="147">
      <formula>ISBLANK(Z122)</formula>
    </cfRule>
    <cfRule type="expression" priority="126" stopIfTrue="1">
      <formula>$AM$122=2</formula>
    </cfRule>
  </conditionalFormatting>
  <conditionalFormatting sqref="Z125 AH125 M84:M89 AH118 AG120">
    <cfRule type="expression" dxfId="55" priority="237">
      <formula>ISBLANK(M84)</formula>
    </cfRule>
  </conditionalFormatting>
  <conditionalFormatting sqref="Z125:Z126 AG127 F123:F127 AH125">
    <cfRule type="expression" priority="144" stopIfTrue="1">
      <formula>$AN$122=2</formula>
    </cfRule>
  </conditionalFormatting>
  <conditionalFormatting sqref="AA24 AI24">
    <cfRule type="expression" dxfId="54" priority="352">
      <formula>$AM$24=2</formula>
    </cfRule>
  </conditionalFormatting>
  <conditionalFormatting sqref="AA25 AI25">
    <cfRule type="expression" dxfId="53" priority="356">
      <formula>$AM$25=2</formula>
    </cfRule>
  </conditionalFormatting>
  <conditionalFormatting sqref="AA29 AH29:AI29">
    <cfRule type="expression" dxfId="52" priority="360">
      <formula>$AM$29=2</formula>
    </cfRule>
  </conditionalFormatting>
  <conditionalFormatting sqref="AA30 AH30:AI30">
    <cfRule type="expression" dxfId="51" priority="364">
      <formula>$AM$30=2</formula>
    </cfRule>
  </conditionalFormatting>
  <conditionalFormatting sqref="AA38:AI38 X39 AF39 X41:Y41">
    <cfRule type="expression" dxfId="50" priority="19">
      <formula>ISBLANK(X38)</formula>
    </cfRule>
  </conditionalFormatting>
  <conditionalFormatting sqref="AB46:AB47">
    <cfRule type="expression" dxfId="49" priority="216">
      <formula>ISBLANK(AB46)</formula>
    </cfRule>
  </conditionalFormatting>
  <conditionalFormatting sqref="AB64 AH64">
    <cfRule type="expression" dxfId="48" priority="388">
      <formula>$AO$64=2</formula>
    </cfRule>
  </conditionalFormatting>
  <conditionalFormatting sqref="AB64">
    <cfRule type="expression" priority="137" stopIfTrue="1">
      <formula>$AM$64=1</formula>
    </cfRule>
  </conditionalFormatting>
  <conditionalFormatting sqref="AB65 AH65">
    <cfRule type="expression" dxfId="47" priority="392">
      <formula>$AO$65=2</formula>
    </cfRule>
  </conditionalFormatting>
  <conditionalFormatting sqref="AB66 AH66">
    <cfRule type="expression" dxfId="46" priority="396">
      <formula>$AO$66=2</formula>
    </cfRule>
  </conditionalFormatting>
  <conditionalFormatting sqref="AB67 AH67">
    <cfRule type="expression" dxfId="45" priority="400">
      <formula>$AO$67=2</formula>
    </cfRule>
  </conditionalFormatting>
  <conditionalFormatting sqref="AB68 AH68">
    <cfRule type="expression" dxfId="44" priority="404">
      <formula>$AO$68=2</formula>
    </cfRule>
  </conditionalFormatting>
  <conditionalFormatting sqref="AB69 AH69">
    <cfRule type="expression" dxfId="43" priority="408">
      <formula>$AO$69=2</formula>
    </cfRule>
  </conditionalFormatting>
  <conditionalFormatting sqref="AB70 AH70">
    <cfRule type="expression" dxfId="42" priority="412">
      <formula>$AO$70=2</formula>
    </cfRule>
  </conditionalFormatting>
  <conditionalFormatting sqref="AB71">
    <cfRule type="expression" dxfId="41" priority="428">
      <formula>$AO$71=2</formula>
    </cfRule>
  </conditionalFormatting>
  <conditionalFormatting sqref="AB72">
    <cfRule type="expression" dxfId="40" priority="432">
      <formula>$AO$72=2</formula>
    </cfRule>
  </conditionalFormatting>
  <conditionalFormatting sqref="AB73">
    <cfRule type="expression" dxfId="39" priority="436">
      <formula>$AO$73=2</formula>
    </cfRule>
  </conditionalFormatting>
  <conditionalFormatting sqref="AB74 AH74">
    <cfRule type="expression" dxfId="38" priority="440">
      <formula>$AO$74=2</formula>
    </cfRule>
  </conditionalFormatting>
  <conditionalFormatting sqref="AB75 AH75">
    <cfRule type="expression" dxfId="37" priority="444">
      <formula>$AO$75=2</formula>
    </cfRule>
  </conditionalFormatting>
  <conditionalFormatting sqref="AB76 AH76">
    <cfRule type="expression" dxfId="36" priority="448">
      <formula>$AO$76=2</formula>
    </cfRule>
  </conditionalFormatting>
  <conditionalFormatting sqref="AB77 AH77">
    <cfRule type="expression" dxfId="35" priority="452">
      <formula>$AO$77=2</formula>
    </cfRule>
  </conditionalFormatting>
  <conditionalFormatting sqref="AC27 Y27">
    <cfRule type="expression" dxfId="34" priority="349">
      <formula>$AM$27=1</formula>
    </cfRule>
  </conditionalFormatting>
  <conditionalFormatting sqref="AC27">
    <cfRule type="expression" dxfId="33" priority="12">
      <formula>$AN$27=2</formula>
    </cfRule>
  </conditionalFormatting>
  <conditionalFormatting sqref="AC59">
    <cfRule type="cellIs" dxfId="32" priority="474" operator="lessThan">
      <formula>$K59</formula>
    </cfRule>
    <cfRule type="expression" dxfId="31" priority="473">
      <formula>ISBLANK(AC59)</formula>
    </cfRule>
  </conditionalFormatting>
  <conditionalFormatting sqref="AC168">
    <cfRule type="expression" dxfId="30" priority="62">
      <formula>ISBLANK(AC168)</formula>
    </cfRule>
  </conditionalFormatting>
  <conditionalFormatting sqref="AD6">
    <cfRule type="cellIs" dxfId="29" priority="11" operator="equal">
      <formula>0</formula>
    </cfRule>
  </conditionalFormatting>
  <conditionalFormatting sqref="AD50:AD51">
    <cfRule type="expression" dxfId="28" priority="231">
      <formula>ISBLANK(AD50)</formula>
    </cfRule>
  </conditionalFormatting>
  <conditionalFormatting sqref="AD89">
    <cfRule type="cellIs" dxfId="27" priority="1257" operator="greaterThan">
      <formula>$AP$82</formula>
    </cfRule>
  </conditionalFormatting>
  <conditionalFormatting sqref="AD97 U92:U97 Q92:Q97">
    <cfRule type="expression" dxfId="26" priority="46" stopIfTrue="1">
      <formula>ISBLANK(Q92)</formula>
    </cfRule>
  </conditionalFormatting>
  <conditionalFormatting sqref="AD50:AG50">
    <cfRule type="expression" dxfId="25" priority="41">
      <formula>$AR$50=3</formula>
    </cfRule>
  </conditionalFormatting>
  <conditionalFormatting sqref="AD51:AG51">
    <cfRule type="expression" dxfId="24" priority="40">
      <formula>$AR$51=3</formula>
    </cfRule>
  </conditionalFormatting>
  <conditionalFormatting sqref="AF7">
    <cfRule type="expression" dxfId="23" priority="117">
      <formula>ISBLANK(AF7)</formula>
    </cfRule>
  </conditionalFormatting>
  <conditionalFormatting sqref="AF80 AI80">
    <cfRule type="expression" dxfId="22" priority="7">
      <formula>$AM80=1</formula>
    </cfRule>
  </conditionalFormatting>
  <conditionalFormatting sqref="AH16">
    <cfRule type="expression" dxfId="21" priority="210">
      <formula>ISBLANK(AH16)</formula>
    </cfRule>
  </conditionalFormatting>
  <conditionalFormatting sqref="AH64">
    <cfRule type="expression" priority="187" stopIfTrue="1">
      <formula>$AN$64=1</formula>
    </cfRule>
  </conditionalFormatting>
  <conditionalFormatting sqref="AH64:AH77 AB64:AB77 AA24:AA25 AI24:AI25">
    <cfRule type="cellIs" priority="351" stopIfTrue="1" operator="greaterThan">
      <formula>0</formula>
    </cfRule>
  </conditionalFormatting>
  <conditionalFormatting sqref="AH71">
    <cfRule type="expression" dxfId="20" priority="416">
      <formula>$AO$71=2</formula>
    </cfRule>
  </conditionalFormatting>
  <conditionalFormatting sqref="AH72">
    <cfRule type="expression" dxfId="19" priority="420">
      <formula>$AO$72=2</formula>
    </cfRule>
  </conditionalFormatting>
  <conditionalFormatting sqref="AH73">
    <cfRule type="expression" dxfId="18" priority="424">
      <formula>$AO$73=2</formula>
    </cfRule>
  </conditionalFormatting>
  <conditionalFormatting sqref="AH84:AH89">
    <cfRule type="expression" dxfId="17" priority="45">
      <formula>$AO84=1</formula>
    </cfRule>
    <cfRule type="expression" dxfId="16" priority="44">
      <formula>$AN84=1</formula>
    </cfRule>
    <cfRule type="expression" dxfId="15" priority="43">
      <formula>$AM84=1</formula>
    </cfRule>
  </conditionalFormatting>
  <conditionalFormatting sqref="AH92:AH97">
    <cfRule type="expression" dxfId="14" priority="226">
      <formula>AQ92=1</formula>
    </cfRule>
    <cfRule type="expression" dxfId="13" priority="337">
      <formula>$AR92=1</formula>
    </cfRule>
    <cfRule type="cellIs" dxfId="12" priority="50" stopIfTrue="1" operator="greaterThan">
      <formula>$I92</formula>
    </cfRule>
    <cfRule type="expression" dxfId="11" priority="42">
      <formula>ISBLANK(AH92)</formula>
    </cfRule>
  </conditionalFormatting>
  <conditionalFormatting sqref="AH29:AI30 AA29:AA34">
    <cfRule type="cellIs" priority="359" stopIfTrue="1" operator="greaterThan">
      <formula>0</formula>
    </cfRule>
  </conditionalFormatting>
  <conditionalFormatting sqref="AH32:AI32 AH33:AH34 AA32">
    <cfRule type="expression" dxfId="10" priority="372">
      <formula>$AM$32=2</formula>
    </cfRule>
  </conditionalFormatting>
  <conditionalFormatting sqref="AH32:AI34">
    <cfRule type="cellIs" priority="371" stopIfTrue="1" operator="greaterThan">
      <formula>0</formula>
    </cfRule>
  </conditionalFormatting>
  <conditionalFormatting sqref="AI31 AA31">
    <cfRule type="expression" dxfId="9" priority="368">
      <formula>$AM$31=2</formula>
    </cfRule>
  </conditionalFormatting>
  <conditionalFormatting sqref="AI31">
    <cfRule type="cellIs" priority="367" stopIfTrue="1" operator="greaterThan">
      <formula>0</formula>
    </cfRule>
  </conditionalFormatting>
  <conditionalFormatting sqref="AI33 AA33">
    <cfRule type="expression" dxfId="8" priority="378">
      <formula>$AM$33=2</formula>
    </cfRule>
  </conditionalFormatting>
  <conditionalFormatting sqref="AI34 AA34">
    <cfRule type="expression" dxfId="7" priority="382">
      <formula>$AM$34=2</formula>
    </cfRule>
  </conditionalFormatting>
  <conditionalFormatting sqref="AI41 AF41">
    <cfRule type="expression" dxfId="6" priority="18">
      <formula>$AN$41=1</formula>
    </cfRule>
  </conditionalFormatting>
  <conditionalFormatting sqref="AI41">
    <cfRule type="expression" dxfId="5" priority="17">
      <formula>$AO$41=2</formula>
    </cfRule>
  </conditionalFormatting>
  <conditionalFormatting sqref="AI80">
    <cfRule type="expression" dxfId="4" priority="8">
      <formula>$AN80=2</formula>
    </cfRule>
  </conditionalFormatting>
  <conditionalFormatting sqref="AI78:AJ78">
    <cfRule type="expression" dxfId="3" priority="14">
      <formula>ISBLANK(AI78)</formula>
    </cfRule>
    <cfRule type="expression" dxfId="2" priority="13">
      <formula>$AQ$80=1</formula>
    </cfRule>
  </conditionalFormatting>
  <conditionalFormatting sqref="AI59:AK59">
    <cfRule type="expression" dxfId="1" priority="118">
      <formula>ISBLANK(AI59)</formula>
    </cfRule>
  </conditionalFormatting>
  <conditionalFormatting sqref="AK46:AK47">
    <cfRule type="expression" dxfId="0" priority="215">
      <formula>ISBLANK(AK46)</formula>
    </cfRule>
  </conditionalFormatting>
  <dataValidations count="2">
    <dataValidation type="list" allowBlank="1" showInputMessage="1" showErrorMessage="1" sqref="AH45:AK45 AH16:AK16 V24:Y25 W29:Y34" xr:uid="{06087DCA-AA37-4BFE-8386-162360B92D36}">
      <formula1>Shape</formula1>
    </dataValidation>
    <dataValidation type="list" allowBlank="1" showInputMessage="1" showErrorMessage="1" sqref="Y16:AB16 Y45:AB45" xr:uid="{6D057CEB-A90F-4CE0-B4A3-EBB6EA20D27D}">
      <formula1>Material</formula1>
    </dataValidation>
  </dataValidations>
  <pageMargins left="0.2" right="0.2" top="0.5" bottom="0.25" header="0.3" footer="0.3"/>
  <pageSetup scale="99" orientation="portrait" r:id="rId1"/>
  <rowBreaks count="3" manualBreakCount="3">
    <brk id="54" max="16383" man="1"/>
    <brk id="100" max="16383" man="1"/>
    <brk id="151"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5811C8A-ECEE-4454-B380-9D2FF58D55E6}">
          <x14:formula1>
            <xm:f>Tables!$F$2:$F$7</xm:f>
          </x14:formula1>
          <xm:sqref>AA26:AD26 AA36:AD37 AA39:AD42 I40 F36:I39 F41:I42</xm:sqref>
        </x14:dataValidation>
        <x14:dataValidation type="list" allowBlank="1" showInputMessage="1" showErrorMessage="1" xr:uid="{BE41E341-9C5E-44E7-A54D-C7661114123C}">
          <x14:formula1>
            <xm:f>Tables!$D$2:$D$10</xm:f>
          </x14:formula1>
          <xm:sqref>E16</xm:sqref>
        </x14:dataValidation>
        <x14:dataValidation type="list" allowBlank="1" showInputMessage="1" showErrorMessage="1" xr:uid="{867863CF-AA4D-40F3-9A7E-0F56E6285A11}">
          <x14:formula1>
            <xm:f>Tables!$H$9:$H$14</xm:f>
          </x14:formula1>
          <xm:sqref>AA38:AI38</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40752809-8207-435E-A0D2-F751288A06ED}">
          <x14:formula1>
            <xm:f>Tables!$B$8</xm:f>
          </x14:formula1>
          <xm:sqref>AF7:AK7 G10 O10 AB10 AB12 Y17:AA19 AH18:AJ19 AC21 Y21 AA24:AC25 AE24:AG25 AI24:AK25 Y27 AC27 AE29:AG34 AI29:AK34 AF39 Y46:AA47 AH46:AJ47 AD50:AG51 AD97:AF97 X41:Y41 X39 AF41 AI41 AC59:AE59 AI59:AK59 W64:Y77 AB64:AE77 AH64:AK77 I92:K97 M92:O97 Q92:S97 U92:W97 Y92:AB97 AC168:AG168 AH92:AK97 B104:AK113 F116:V120 F123:V127 Z118:AC118 AH118:AK118 AG120:AK120 Z122 Z125:AC125 AH125:AK125 AA29:AC34 AG127:AK127 D132 D134 D136 D138 D140 D142 D144 F144 F142 F140 F138 F136 F134 F132 X134:Y134 X136:Y136 X138:Y138 X140:Y140 X142:Y142 X144:Y144 AB144:AH144 AB142:AH142 AB140:AH140 AB138:AH138 AB136:AH136 AB134:AH134 E161:Y163 E164:K164 O164:R164 W164:Y164 E165:Y165 E166:I166 Z126 Z119 AI78:AJ78 P80 M80 AI80 AF80 G12</xm:sqref>
        </x14:dataValidation>
        <x14:dataValidation type="custom" allowBlank="1" showInputMessage="1" showErrorMessage="1" errorTitle="Workbook Locked" error="On the Instructions Tab, accept the conditions to use this form._x000a__x000a_                     OR_x000a__x000a_This form has expired.  Please obtain the latest version of this form." xr:uid="{C33DAAA7-BA78-4992-95C6-E37C47A465DB}">
          <x14:formula1>
            <xm:f>Tables!$B$8</xm:f>
          </x14:formula1>
          <xm:sqref>AD6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2A.1 - Design</vt:lpstr>
      <vt:lpstr>Form 3A - As-built</vt:lpstr>
      <vt:lpstr>Material</vt:lpstr>
      <vt:lpstr>'Form 2A.1 - Design'!Print_Area</vt:lpstr>
      <vt:lpstr>'Form 3A - As-built'!Print_Area</vt:lpstr>
      <vt:lpstr>'Form 2A.1 - Design'!Print_Titles</vt:lpstr>
      <vt:lpstr>'Form 3A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2026-09-05T00:16:26Z</cp:lastPrinted>
  <dcterms:created xsi:type="dcterms:W3CDTF">2021-11-21T16:55:43Z</dcterms:created>
  <dcterms:modified xsi:type="dcterms:W3CDTF">2026-09-06T20:24:18Z</dcterms:modified>
</cp:coreProperties>
</file>