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HYDRO\PROJECTS\Baldwin County\01 - Post Const Forms\2025-10-01 Published\"/>
    </mc:Choice>
  </mc:AlternateContent>
  <xr:revisionPtr revIDLastSave="0" documentId="13_ncr:1_{96BB7BF6-E986-4884-A948-0A3DA4C37334}" xr6:coauthVersionLast="47" xr6:coauthVersionMax="47" xr10:uidLastSave="{00000000-0000-0000-0000-000000000000}"/>
  <workbookProtection workbookAlgorithmName="SHA-512" workbookHashValue="81PzahH0RZjld6n7gAJYvJfzlFc62/IRDumTq8mxBKUYWGmJ9wZjqte5wCA5/uBgeKKOQPonqlYM+LdkdL1uJA==" workbookSaltValue="56Ymnbpf3nMA9p++vi3I0Q==" workbookSpinCount="100000" lockStructure="1"/>
  <bookViews>
    <workbookView xWindow="-15060" yWindow="-16320" windowWidth="29040" windowHeight="15840" firstSheet="1" activeTab="1" xr2:uid="{994EC860-6224-46C4-B304-9868EEFCD4CE}"/>
  </bookViews>
  <sheets>
    <sheet name="Tables" sheetId="2" state="veryHidden" r:id="rId1"/>
    <sheet name="License" sheetId="8" r:id="rId2"/>
    <sheet name="General Instructions" sheetId="11" r:id="rId3"/>
    <sheet name="Form 2B.1 - Design" sheetId="5" r:id="rId4"/>
    <sheet name="Form 2B.2 - Design Attachment" sheetId="10" r:id="rId5"/>
    <sheet name="Form 3B - As-built" sheetId="6" r:id="rId6"/>
  </sheets>
  <definedNames>
    <definedName name="_Hlk68675965" localSheetId="5">'Form 3B - As-built'!#REF!</definedName>
    <definedName name="Logo">INDEX(Tables!$F$40:$F$45,MATCH(Tables!$F$14,Tables!$E$40:$E$45,0))</definedName>
    <definedName name="Material">Tables!$D$2:$D$10</definedName>
    <definedName name="_xlnm.Print_Area" localSheetId="3">'Form 2B.1 - Design'!$A$1:$AK$200</definedName>
    <definedName name="_xlnm.Print_Area" localSheetId="4">'Form 2B.2 - Design Attachment'!$A$1:$AK$110</definedName>
    <definedName name="_xlnm.Print_Area" localSheetId="5">'Form 3B - As-built'!$A$1:$AL$244</definedName>
    <definedName name="_xlnm.Print_Titles" localSheetId="3">'Form 2B.1 - Design'!$1:$4</definedName>
    <definedName name="_xlnm.Print_Titles" localSheetId="4">'Form 2B.2 - Design Attachment'!$1:$4</definedName>
    <definedName name="_xlnm.Print_Titles" localSheetId="5">'Form 3B - As-built'!$1:$4</definedName>
    <definedName name="Shape">Tables!$F$2:$F$10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 i="6" l="1"/>
  <c r="AM154" i="5"/>
  <c r="I155" i="5" s="1"/>
  <c r="AL154" i="5"/>
  <c r="AL114" i="5"/>
  <c r="AL140" i="5"/>
  <c r="AM138" i="5"/>
  <c r="AL138" i="5"/>
  <c r="AM136" i="5"/>
  <c r="AL136" i="5"/>
  <c r="AP52" i="10"/>
  <c r="AO52" i="10"/>
  <c r="AN52" i="10"/>
  <c r="AM52" i="10"/>
  <c r="AM51" i="10"/>
  <c r="AP50" i="10"/>
  <c r="AO50" i="10"/>
  <c r="AN50" i="10"/>
  <c r="AM50" i="10"/>
  <c r="AM49" i="10"/>
  <c r="AP48" i="10"/>
  <c r="AO48" i="10"/>
  <c r="AN48" i="10"/>
  <c r="AM48" i="10"/>
  <c r="AM47" i="10"/>
  <c r="AP46" i="10"/>
  <c r="AO46" i="10"/>
  <c r="AN46" i="10"/>
  <c r="AM46" i="10"/>
  <c r="AM45" i="10"/>
  <c r="AP44" i="10"/>
  <c r="AO44" i="10"/>
  <c r="AN44" i="10"/>
  <c r="AM44" i="10"/>
  <c r="AM43" i="10"/>
  <c r="AP42" i="10"/>
  <c r="AO42" i="10"/>
  <c r="AN42" i="10"/>
  <c r="AM42" i="10"/>
  <c r="AM41" i="10"/>
  <c r="AP40" i="10"/>
  <c r="AO40" i="10"/>
  <c r="AN40" i="10"/>
  <c r="AM40" i="10"/>
  <c r="AM39" i="10"/>
  <c r="AP38" i="10"/>
  <c r="AO38" i="10"/>
  <c r="AN38" i="10"/>
  <c r="AM38" i="10"/>
  <c r="AM37" i="10"/>
  <c r="AP36" i="10"/>
  <c r="AO36" i="10"/>
  <c r="AN36" i="10"/>
  <c r="AM36" i="10"/>
  <c r="AM35" i="10"/>
  <c r="AP34" i="10"/>
  <c r="AO34" i="10"/>
  <c r="AN34" i="10"/>
  <c r="AM34" i="10"/>
  <c r="AM33" i="10"/>
  <c r="AP32" i="10"/>
  <c r="AO32" i="10"/>
  <c r="AN32" i="10"/>
  <c r="AM32" i="10"/>
  <c r="AM31" i="10"/>
  <c r="AP30" i="10"/>
  <c r="AO30" i="10"/>
  <c r="AN30" i="10"/>
  <c r="AM30" i="10"/>
  <c r="AM29" i="10"/>
  <c r="AP28" i="10"/>
  <c r="AO28" i="10"/>
  <c r="AN28" i="10"/>
  <c r="AM28" i="10"/>
  <c r="AM27" i="10"/>
  <c r="AP26" i="10"/>
  <c r="AO26" i="10"/>
  <c r="AN26" i="10"/>
  <c r="AM26" i="10"/>
  <c r="AM25" i="10"/>
  <c r="AP24" i="10"/>
  <c r="AO24" i="10"/>
  <c r="AN24" i="10"/>
  <c r="AM24" i="10"/>
  <c r="B6" i="11" l="1"/>
  <c r="B34" i="11" s="1"/>
  <c r="B35" i="11" s="1"/>
  <c r="F38" i="2"/>
  <c r="O2" i="8"/>
  <c r="O1" i="8"/>
  <c r="F37" i="2"/>
  <c r="AD10" i="5" s="1"/>
  <c r="F33" i="2"/>
  <c r="AP126" i="5" s="1"/>
  <c r="F32" i="2"/>
  <c r="F30" i="2"/>
  <c r="F29" i="2"/>
  <c r="F28" i="2"/>
  <c r="F27" i="2"/>
  <c r="F26" i="2"/>
  <c r="F25" i="2"/>
  <c r="F24" i="2"/>
  <c r="F23" i="2"/>
  <c r="F22" i="8" s="1"/>
  <c r="F22" i="2"/>
  <c r="F21" i="2"/>
  <c r="F20" i="2"/>
  <c r="F19" i="2"/>
  <c r="F18" i="2"/>
  <c r="F17" i="2"/>
  <c r="F16" i="2"/>
  <c r="F15" i="2"/>
  <c r="B7" i="2"/>
  <c r="A2" i="8"/>
  <c r="B2" i="2"/>
  <c r="B6" i="2" s="1"/>
  <c r="M22" i="2"/>
  <c r="M19" i="2"/>
  <c r="P75" i="6"/>
  <c r="M75" i="6"/>
  <c r="E75" i="6"/>
  <c r="L73" i="6"/>
  <c r="E73" i="6"/>
  <c r="H72" i="6"/>
  <c r="AO75" i="6"/>
  <c r="AN75" i="6"/>
  <c r="AM75" i="6"/>
  <c r="AN73" i="6"/>
  <c r="AM73" i="6"/>
  <c r="AM72" i="6"/>
  <c r="T10" i="10"/>
  <c r="T9" i="10"/>
  <c r="AE10" i="10"/>
  <c r="AE7" i="10"/>
  <c r="E8" i="10"/>
  <c r="E7" i="10"/>
  <c r="F7" i="8" l="1"/>
  <c r="F32" i="8"/>
  <c r="AX25" i="5"/>
  <c r="AX24" i="5"/>
  <c r="I142" i="5"/>
  <c r="O136" i="5"/>
  <c r="U138" i="5"/>
  <c r="U140" i="5"/>
  <c r="F29" i="8"/>
  <c r="F13" i="8"/>
  <c r="B8" i="2"/>
  <c r="AL92" i="5"/>
  <c r="L189" i="5" s="1"/>
  <c r="AP90" i="5"/>
  <c r="AO90" i="5"/>
  <c r="AN90" i="5"/>
  <c r="AM90" i="5"/>
  <c r="AL90" i="5"/>
  <c r="AP88" i="5"/>
  <c r="AO88" i="5"/>
  <c r="AL88" i="5"/>
  <c r="AT126" i="5"/>
  <c r="AM134" i="5"/>
  <c r="AL134" i="5"/>
  <c r="AM132" i="5"/>
  <c r="AL132" i="5"/>
  <c r="AM130" i="5"/>
  <c r="AL130" i="5"/>
  <c r="AM128" i="5"/>
  <c r="AL128" i="5"/>
  <c r="R22" i="2"/>
  <c r="F34" i="2" s="1"/>
  <c r="Q22" i="2"/>
  <c r="P22" i="2"/>
  <c r="O22" i="2"/>
  <c r="N22" i="2"/>
  <c r="K22" i="2"/>
  <c r="K23" i="2" s="1"/>
  <c r="R19" i="2"/>
  <c r="F31" i="2" s="1"/>
  <c r="Q19" i="2"/>
  <c r="P19" i="2"/>
  <c r="O19" i="2"/>
  <c r="N19" i="2"/>
  <c r="AV28" i="5"/>
  <c r="AG202" i="6"/>
  <c r="B201" i="6"/>
  <c r="AS126" i="5" l="1"/>
  <c r="AS124" i="5"/>
  <c r="F3" i="8"/>
  <c r="AM88" i="5"/>
  <c r="L183" i="5" s="1"/>
  <c r="AP142" i="5"/>
  <c r="AO142" i="5"/>
  <c r="AN142" i="5"/>
  <c r="AR115" i="6" s="1"/>
  <c r="AM142" i="5"/>
  <c r="AL142" i="5"/>
  <c r="AQ142" i="5" l="1"/>
  <c r="AM150" i="5"/>
  <c r="AL150" i="5"/>
  <c r="AM152" i="5"/>
  <c r="AN152" i="5"/>
  <c r="AL152" i="5"/>
  <c r="L180" i="5"/>
  <c r="AL180" i="5" s="1"/>
  <c r="AT121" i="6"/>
  <c r="AT122" i="6"/>
  <c r="AT123" i="6"/>
  <c r="AT124" i="6"/>
  <c r="AT125" i="6"/>
  <c r="AT120" i="6"/>
  <c r="Y117" i="6"/>
  <c r="Y116" i="6"/>
  <c r="Y115" i="6"/>
  <c r="Y114" i="6"/>
  <c r="Y113" i="6"/>
  <c r="Y112" i="6"/>
  <c r="AT119" i="6" l="1"/>
  <c r="AS69" i="6" l="1"/>
  <c r="AS68" i="6"/>
  <c r="M194" i="6" l="1"/>
  <c r="AM194" i="6" s="1"/>
  <c r="AS86" i="5" l="1"/>
  <c r="AQ86" i="5"/>
  <c r="AR109" i="5"/>
  <c r="AR110" i="5"/>
  <c r="AR111" i="5"/>
  <c r="AR112" i="5"/>
  <c r="AR113" i="5"/>
  <c r="AR108" i="5"/>
  <c r="L187" i="5" l="1"/>
  <c r="AR107" i="5"/>
  <c r="M90" i="6" l="1"/>
  <c r="J19" i="5"/>
  <c r="AM13" i="5"/>
  <c r="AM12" i="5"/>
  <c r="AL12" i="5"/>
  <c r="F35" i="2" l="1"/>
  <c r="F36" i="2" s="1"/>
  <c r="AM14" i="5"/>
  <c r="AO126" i="5"/>
  <c r="AS122" i="5" l="1"/>
  <c r="AX27" i="5" s="1"/>
  <c r="AR122" i="5"/>
  <c r="AX26" i="5" s="1"/>
  <c r="I24" i="5"/>
  <c r="I37" i="5"/>
  <c r="AP13" i="5"/>
  <c r="AP12" i="5"/>
  <c r="AE13" i="5"/>
  <c r="N15" i="5"/>
  <c r="AE12" i="5"/>
  <c r="N19" i="5"/>
  <c r="AA15" i="5"/>
  <c r="N14" i="5"/>
  <c r="N18" i="5"/>
  <c r="N17" i="5"/>
  <c r="N16" i="5"/>
  <c r="AJ122" i="5" l="1"/>
  <c r="AP14" i="5"/>
  <c r="AQ114" i="6"/>
  <c r="AP124" i="5"/>
  <c r="AQ121" i="5"/>
  <c r="AQ120" i="5"/>
  <c r="AQ119" i="5"/>
  <c r="AQ118" i="5"/>
  <c r="AQ117" i="5"/>
  <c r="AQ116" i="5"/>
  <c r="K2" i="2"/>
  <c r="K3" i="2" s="1"/>
  <c r="K4" i="2" s="1"/>
  <c r="K5" i="2" s="1"/>
  <c r="K6" i="2" s="1"/>
  <c r="K7" i="2" s="1"/>
  <c r="K8" i="2" s="1"/>
  <c r="K9" i="2" s="1"/>
  <c r="K10" i="2" s="1"/>
  <c r="K11" i="2" s="1"/>
  <c r="K12" i="2" s="1"/>
  <c r="K13" i="2" s="1"/>
  <c r="K14" i="2" s="1"/>
  <c r="K15" i="2" s="1"/>
  <c r="K16" i="2" s="1"/>
  <c r="K17" i="2" s="1"/>
  <c r="K18" i="2" s="1"/>
  <c r="K19" i="2" s="1"/>
  <c r="AQ124" i="5" l="1"/>
  <c r="AQ126" i="5"/>
  <c r="AE15" i="5"/>
  <c r="Y54" i="10"/>
  <c r="AP171" i="6"/>
  <c r="AP169" i="6"/>
  <c r="AP167" i="6"/>
  <c r="AP165" i="6"/>
  <c r="AP163" i="6"/>
  <c r="AP161" i="6"/>
  <c r="AP159" i="6"/>
  <c r="J16" i="2" l="1"/>
  <c r="J15" i="2"/>
  <c r="AP157" i="6"/>
  <c r="AO124" i="5"/>
  <c r="AF188" i="6"/>
  <c r="AQ113" i="6" l="1"/>
  <c r="AM144" i="5"/>
  <c r="AM126" i="5" l="1"/>
  <c r="AL126" i="5"/>
  <c r="AL40" i="5"/>
  <c r="AL27" i="5"/>
  <c r="AO124" i="6"/>
  <c r="AO125" i="6"/>
  <c r="AN126" i="5" l="1"/>
  <c r="AP114" i="6"/>
  <c r="M192" i="6"/>
  <c r="AL112" i="5"/>
  <c r="AL113" i="5"/>
  <c r="AP109" i="5" l="1"/>
  <c r="AP110" i="5"/>
  <c r="AP111" i="5"/>
  <c r="AP112" i="5"/>
  <c r="AP113" i="5"/>
  <c r="AP108" i="5"/>
  <c r="AR114" i="6"/>
  <c r="L185" i="5"/>
  <c r="AL144" i="5"/>
  <c r="AM124" i="5"/>
  <c r="AL124" i="5"/>
  <c r="AN71" i="5"/>
  <c r="AR120" i="6" l="1"/>
  <c r="AR121" i="6"/>
  <c r="AR122" i="6"/>
  <c r="AR123" i="6"/>
  <c r="AR125" i="6"/>
  <c r="AR124" i="6"/>
  <c r="AN124" i="5"/>
  <c r="AP113" i="6"/>
  <c r="AP107" i="5"/>
  <c r="L197" i="5" s="1"/>
  <c r="AL21" i="5"/>
  <c r="AM148" i="5"/>
  <c r="AL148" i="5"/>
  <c r="AM146" i="5"/>
  <c r="AL146" i="5"/>
  <c r="B110" i="10"/>
  <c r="B62" i="10"/>
  <c r="AE64" i="10"/>
  <c r="D64" i="10"/>
  <c r="R54" i="10"/>
  <c r="K54" i="10"/>
  <c r="AP20" i="10"/>
  <c r="AO20" i="10"/>
  <c r="AN20" i="10"/>
  <c r="AM20" i="10"/>
  <c r="AP18" i="10"/>
  <c r="AO18" i="10"/>
  <c r="AN18" i="10"/>
  <c r="AM18" i="10"/>
  <c r="AP16" i="10"/>
  <c r="AO16" i="10"/>
  <c r="AN16" i="10"/>
  <c r="AM16" i="10"/>
  <c r="AN14" i="10"/>
  <c r="AM14" i="10"/>
  <c r="AP12" i="10"/>
  <c r="AO12" i="10"/>
  <c r="AN12" i="10"/>
  <c r="AM12" i="10"/>
  <c r="AP10" i="10"/>
  <c r="AO10" i="10"/>
  <c r="AN10" i="10"/>
  <c r="AM10" i="10"/>
  <c r="BD1" i="10"/>
  <c r="AQ108" i="5"/>
  <c r="AS120" i="6"/>
  <c r="AW21" i="5"/>
  <c r="G125" i="6"/>
  <c r="G124" i="6"/>
  <c r="G123" i="6"/>
  <c r="G122" i="6"/>
  <c r="G121" i="6"/>
  <c r="G120" i="6"/>
  <c r="G117" i="6"/>
  <c r="G116" i="6"/>
  <c r="G115" i="6"/>
  <c r="G114" i="6"/>
  <c r="G113" i="6"/>
  <c r="G112" i="6"/>
  <c r="G113" i="5"/>
  <c r="G112" i="5"/>
  <c r="G111" i="5"/>
  <c r="G110" i="5"/>
  <c r="G109" i="5"/>
  <c r="G108" i="5"/>
  <c r="J45" i="5"/>
  <c r="J44" i="5"/>
  <c r="J43" i="5"/>
  <c r="J42" i="5"/>
  <c r="J41" i="5"/>
  <c r="J40" i="5"/>
  <c r="J32" i="5"/>
  <c r="J31" i="5"/>
  <c r="J30" i="5"/>
  <c r="J29" i="5"/>
  <c r="J28" i="5"/>
  <c r="J27" i="5"/>
  <c r="C117" i="6"/>
  <c r="B84" i="6"/>
  <c r="G84" i="6"/>
  <c r="M84" i="6"/>
  <c r="AO171" i="6"/>
  <c r="AN171" i="6"/>
  <c r="AM171" i="6"/>
  <c r="AO159" i="6"/>
  <c r="AN159" i="6"/>
  <c r="AM159" i="6"/>
  <c r="AV13" i="6"/>
  <c r="AV27" i="6" s="1"/>
  <c r="AV14" i="5"/>
  <c r="AV15" i="5" s="1"/>
  <c r="AM67" i="10" l="1"/>
  <c r="AQ10" i="10"/>
  <c r="J6" i="2"/>
  <c r="J18" i="2"/>
  <c r="Y55" i="10"/>
  <c r="R55" i="10"/>
  <c r="AO109" i="5"/>
  <c r="AO108" i="5"/>
  <c r="AO110" i="5"/>
  <c r="AO111" i="5"/>
  <c r="AO112" i="5"/>
  <c r="AO113" i="5"/>
  <c r="AR113" i="6"/>
  <c r="AV17" i="5"/>
  <c r="AV20" i="5" s="1"/>
  <c r="AV31" i="5" s="1"/>
  <c r="AV33" i="5" s="1"/>
  <c r="AV36" i="5" s="1"/>
  <c r="AV39" i="5" s="1"/>
  <c r="AV43" i="5" s="1"/>
  <c r="AV44" i="5" s="1"/>
  <c r="AV53" i="5" s="1"/>
  <c r="AV54" i="5" s="1"/>
  <c r="AO14" i="10"/>
  <c r="K22" i="10" s="1"/>
  <c r="AR119" i="6"/>
  <c r="M211" i="6" s="1"/>
  <c r="AN148" i="5"/>
  <c r="C125" i="6"/>
  <c r="C113" i="5"/>
  <c r="F32" i="5"/>
  <c r="F45" i="5"/>
  <c r="B243" i="6"/>
  <c r="AO169" i="6"/>
  <c r="AN169" i="6"/>
  <c r="AM169" i="6"/>
  <c r="AO167" i="6"/>
  <c r="AN167" i="6"/>
  <c r="AM167" i="6"/>
  <c r="AO165" i="6"/>
  <c r="AN165" i="6"/>
  <c r="AM165" i="6"/>
  <c r="AO163" i="6"/>
  <c r="AN163" i="6"/>
  <c r="AM163" i="6"/>
  <c r="AO161" i="6"/>
  <c r="AN161" i="6"/>
  <c r="AM161" i="6"/>
  <c r="B199" i="5"/>
  <c r="AB50" i="10" l="1"/>
  <c r="AB46" i="10"/>
  <c r="AB40" i="10"/>
  <c r="AB28" i="10"/>
  <c r="U52" i="10"/>
  <c r="U46" i="10"/>
  <c r="U40" i="10"/>
  <c r="U34" i="10"/>
  <c r="N46" i="10"/>
  <c r="N40" i="10"/>
  <c r="U50" i="10"/>
  <c r="U32" i="10"/>
  <c r="N38" i="10"/>
  <c r="N26" i="10"/>
  <c r="AB52" i="10"/>
  <c r="AB34" i="10"/>
  <c r="N52" i="10"/>
  <c r="N34" i="10"/>
  <c r="N28" i="10"/>
  <c r="U44" i="10"/>
  <c r="N44" i="10"/>
  <c r="U28" i="10"/>
  <c r="AB48" i="10"/>
  <c r="AB42" i="10"/>
  <c r="AB36" i="10"/>
  <c r="AB30" i="10"/>
  <c r="AB24" i="10"/>
  <c r="N48" i="10"/>
  <c r="N24" i="10"/>
  <c r="AB44" i="10"/>
  <c r="AB32" i="10"/>
  <c r="U38" i="10"/>
  <c r="N50" i="10"/>
  <c r="U48" i="10"/>
  <c r="U42" i="10"/>
  <c r="U36" i="10"/>
  <c r="U30" i="10"/>
  <c r="U24" i="10"/>
  <c r="N42" i="10"/>
  <c r="N36" i="10"/>
  <c r="N30" i="10"/>
  <c r="AB38" i="10"/>
  <c r="AB26" i="10"/>
  <c r="U26" i="10"/>
  <c r="N32" i="10"/>
  <c r="U54" i="10"/>
  <c r="N54" i="10"/>
  <c r="AB54" i="10"/>
  <c r="F23" i="10"/>
  <c r="M207" i="6"/>
  <c r="AM207" i="6" s="1"/>
  <c r="L192" i="5"/>
  <c r="AL192" i="5" s="1"/>
  <c r="AQ121" i="6"/>
  <c r="AQ122" i="6"/>
  <c r="AQ125" i="6"/>
  <c r="AQ123" i="6"/>
  <c r="AQ120" i="6"/>
  <c r="AQ124" i="6"/>
  <c r="AM157" i="6"/>
  <c r="M212" i="6" s="1"/>
  <c r="AM212" i="6" s="1"/>
  <c r="AO107" i="5"/>
  <c r="AM101" i="5"/>
  <c r="AN101" i="5"/>
  <c r="AL76" i="5"/>
  <c r="AL77" i="5"/>
  <c r="AL78" i="5"/>
  <c r="AL79" i="5"/>
  <c r="AL80" i="5"/>
  <c r="AL75" i="5"/>
  <c r="AL73" i="5"/>
  <c r="AS122" i="6"/>
  <c r="AS123" i="6"/>
  <c r="AS124" i="6"/>
  <c r="AS125" i="6"/>
  <c r="AS121" i="6"/>
  <c r="AP121" i="6"/>
  <c r="AP122" i="6"/>
  <c r="AP123" i="6"/>
  <c r="AP124" i="6"/>
  <c r="AP125" i="6"/>
  <c r="AP120" i="6"/>
  <c r="AO121" i="6"/>
  <c r="AO122" i="6"/>
  <c r="AO123" i="6"/>
  <c r="AO120" i="6"/>
  <c r="AM64" i="6"/>
  <c r="AO63" i="6"/>
  <c r="AM63" i="6"/>
  <c r="AQ113" i="5"/>
  <c r="AQ110" i="5"/>
  <c r="AQ111" i="5"/>
  <c r="AQ112" i="5"/>
  <c r="AQ109" i="5"/>
  <c r="AN110" i="5"/>
  <c r="AN111" i="5"/>
  <c r="AN112" i="5"/>
  <c r="AN113" i="5"/>
  <c r="AN108" i="5"/>
  <c r="AN109" i="5"/>
  <c r="AM108" i="5"/>
  <c r="AL109" i="5"/>
  <c r="AL110" i="5"/>
  <c r="AL111" i="5"/>
  <c r="AL108" i="5"/>
  <c r="AO84" i="5"/>
  <c r="AQ83" i="5"/>
  <c r="AO83" i="5"/>
  <c r="AL45" i="5"/>
  <c r="AL44" i="5"/>
  <c r="AL43" i="5"/>
  <c r="AL42" i="5"/>
  <c r="AL41" i="5"/>
  <c r="AL32" i="5"/>
  <c r="AL31" i="5"/>
  <c r="AL30" i="5"/>
  <c r="AL29" i="5"/>
  <c r="AL28" i="5"/>
  <c r="AD113" i="6"/>
  <c r="AD114" i="6"/>
  <c r="AD115" i="6"/>
  <c r="AD116" i="6"/>
  <c r="AD117" i="6"/>
  <c r="AD112" i="6"/>
  <c r="AD43" i="6"/>
  <c r="AD44" i="6"/>
  <c r="AD45" i="6"/>
  <c r="AD46" i="6"/>
  <c r="AD47" i="6"/>
  <c r="AD48" i="6"/>
  <c r="AD42" i="6"/>
  <c r="AD38" i="6"/>
  <c r="N80" i="5"/>
  <c r="L48" i="6" s="1"/>
  <c r="N79" i="5"/>
  <c r="L47" i="6" s="1"/>
  <c r="N78" i="5"/>
  <c r="L46" i="6" s="1"/>
  <c r="N77" i="5"/>
  <c r="L45" i="6" s="1"/>
  <c r="N76" i="5"/>
  <c r="L44" i="6" s="1"/>
  <c r="N75" i="5"/>
  <c r="L43" i="6" s="1"/>
  <c r="N73" i="5"/>
  <c r="L42" i="6" s="1"/>
  <c r="N71" i="5"/>
  <c r="L38" i="6" s="1"/>
  <c r="AM115" i="5"/>
  <c r="AM109" i="5" s="1"/>
  <c r="L196" i="5" l="1"/>
  <c r="AL196" i="5" s="1"/>
  <c r="AL197" i="5"/>
  <c r="AQ119" i="6"/>
  <c r="M210" i="6" s="1"/>
  <c r="AL107" i="5"/>
  <c r="AO119" i="6"/>
  <c r="AQ107" i="5"/>
  <c r="L195" i="5" s="1"/>
  <c r="AL195" i="5" s="1"/>
  <c r="AN107" i="5"/>
  <c r="L194" i="5" s="1"/>
  <c r="C116" i="6"/>
  <c r="F44" i="5"/>
  <c r="F31" i="5"/>
  <c r="C124" i="6"/>
  <c r="C112" i="5"/>
  <c r="C114" i="6"/>
  <c r="F42" i="5"/>
  <c r="F29" i="5"/>
  <c r="C122" i="6"/>
  <c r="C110" i="5"/>
  <c r="F30" i="5"/>
  <c r="F43" i="5"/>
  <c r="C115" i="6"/>
  <c r="C123" i="6"/>
  <c r="C111" i="5"/>
  <c r="C108" i="5"/>
  <c r="C120" i="6"/>
  <c r="F40" i="5"/>
  <c r="F27" i="5"/>
  <c r="C112" i="6"/>
  <c r="C121" i="6"/>
  <c r="C109" i="5"/>
  <c r="F28" i="5"/>
  <c r="C113" i="6"/>
  <c r="F41" i="5"/>
  <c r="J13" i="2"/>
  <c r="AM113" i="5"/>
  <c r="AM112" i="5"/>
  <c r="AM111" i="5"/>
  <c r="AM110" i="5"/>
  <c r="AL39" i="5"/>
  <c r="AL26" i="5"/>
  <c r="AP110" i="6"/>
  <c r="K190" i="6"/>
  <c r="AM6" i="6" l="1"/>
  <c r="AM190" i="6" s="1"/>
  <c r="AM210" i="6"/>
  <c r="AM211" i="6"/>
  <c r="AO65" i="6"/>
  <c r="AO64" i="6"/>
  <c r="AM65" i="6"/>
  <c r="AM62" i="6" l="1"/>
  <c r="M191" i="6" s="1"/>
  <c r="AO127" i="6"/>
  <c r="AM192" i="6" l="1"/>
  <c r="J79" i="6"/>
  <c r="AL190" i="5" l="1"/>
  <c r="R25" i="6"/>
  <c r="O25" i="6"/>
  <c r="I114" i="6" l="1"/>
  <c r="AM196" i="6"/>
  <c r="AO94" i="5"/>
  <c r="AN94" i="5"/>
  <c r="AE158" i="5"/>
  <c r="AE157" i="5"/>
  <c r="D157" i="5"/>
  <c r="AM122" i="6" l="1"/>
  <c r="AL185" i="5"/>
  <c r="AA10" i="6" l="1"/>
  <c r="B156" i="5"/>
  <c r="B103" i="5"/>
  <c r="B53" i="5"/>
  <c r="B152" i="6"/>
  <c r="B106" i="6"/>
  <c r="B57" i="6"/>
  <c r="G15" i="2" l="1"/>
  <c r="AA18" i="5" s="1"/>
  <c r="AW19" i="5"/>
  <c r="D161" i="5"/>
  <c r="AY34" i="6"/>
  <c r="AW46" i="6"/>
  <c r="AM144" i="6"/>
  <c r="AN40" i="6"/>
  <c r="AM31" i="6"/>
  <c r="AM30" i="6"/>
  <c r="AL65" i="5" l="1"/>
  <c r="AL64" i="5"/>
  <c r="E30" i="6"/>
  <c r="AL15" i="5"/>
  <c r="W19" i="5" s="1"/>
  <c r="AL61" i="5"/>
  <c r="G23" i="6"/>
  <c r="AM21" i="6"/>
  <c r="P22" i="5"/>
  <c r="L22" i="5"/>
  <c r="W15" i="5" l="1"/>
  <c r="W18" i="5"/>
  <c r="BO1" i="6"/>
  <c r="AG153" i="6" l="1"/>
  <c r="AG107" i="6"/>
  <c r="AN25" i="6"/>
  <c r="AM25" i="6"/>
  <c r="AN21" i="6"/>
  <c r="AH117" i="6" l="1"/>
  <c r="AH116" i="6"/>
  <c r="AH115" i="6"/>
  <c r="AH114" i="6"/>
  <c r="AH113" i="6"/>
  <c r="AH112" i="6"/>
  <c r="AG58" i="6"/>
  <c r="U117" i="6"/>
  <c r="U116" i="6"/>
  <c r="U115" i="6"/>
  <c r="U114" i="6"/>
  <c r="U113" i="6"/>
  <c r="U112" i="6"/>
  <c r="Q117" i="6"/>
  <c r="Q116" i="6"/>
  <c r="Q115" i="6"/>
  <c r="Q114" i="6"/>
  <c r="Q113" i="6"/>
  <c r="Q112" i="6"/>
  <c r="M117" i="6"/>
  <c r="AN125" i="6" s="1"/>
  <c r="M116" i="6"/>
  <c r="AN124" i="6" s="1"/>
  <c r="M115" i="6"/>
  <c r="AN123" i="6" s="1"/>
  <c r="M114" i="6"/>
  <c r="AN122" i="6" s="1"/>
  <c r="M113" i="6"/>
  <c r="AN121" i="6" s="1"/>
  <c r="M112" i="6"/>
  <c r="AN120" i="6" s="1"/>
  <c r="M92" i="6"/>
  <c r="M93" i="6"/>
  <c r="M94" i="6"/>
  <c r="M95" i="6"/>
  <c r="M96" i="6"/>
  <c r="M97" i="6"/>
  <c r="G92" i="6"/>
  <c r="G94" i="6"/>
  <c r="G95" i="6"/>
  <c r="G96" i="6"/>
  <c r="G97" i="6"/>
  <c r="B92" i="6"/>
  <c r="B93" i="6"/>
  <c r="B94" i="6"/>
  <c r="B95" i="6"/>
  <c r="B96" i="6"/>
  <c r="B97" i="6"/>
  <c r="M91" i="6"/>
  <c r="G91" i="6"/>
  <c r="B91" i="6"/>
  <c r="M85" i="6"/>
  <c r="M86" i="6"/>
  <c r="M87" i="6"/>
  <c r="M88" i="6"/>
  <c r="M89" i="6"/>
  <c r="G90" i="6"/>
  <c r="G89" i="6"/>
  <c r="G88" i="6"/>
  <c r="G87" i="6"/>
  <c r="G86" i="6"/>
  <c r="G85" i="6"/>
  <c r="B90" i="6"/>
  <c r="B89" i="6"/>
  <c r="B88" i="6"/>
  <c r="B87" i="6"/>
  <c r="B86" i="6"/>
  <c r="B85" i="6"/>
  <c r="Q48" i="6"/>
  <c r="M48" i="6"/>
  <c r="I48" i="6"/>
  <c r="E48" i="6"/>
  <c r="Q47" i="6"/>
  <c r="M47" i="6"/>
  <c r="I47" i="6"/>
  <c r="E47" i="6"/>
  <c r="Q46" i="6"/>
  <c r="M46" i="6"/>
  <c r="I46" i="6"/>
  <c r="E46" i="6"/>
  <c r="Q45" i="6"/>
  <c r="M45" i="6"/>
  <c r="I45" i="6"/>
  <c r="E45" i="6"/>
  <c r="Q44" i="6"/>
  <c r="M44" i="6"/>
  <c r="I44" i="6"/>
  <c r="E44" i="6"/>
  <c r="Q43" i="6"/>
  <c r="M43" i="6"/>
  <c r="I43" i="6"/>
  <c r="E43" i="6"/>
  <c r="Q42" i="6"/>
  <c r="M42" i="6"/>
  <c r="I42" i="6"/>
  <c r="E42" i="6"/>
  <c r="Q38" i="6"/>
  <c r="M38" i="6"/>
  <c r="I38" i="6"/>
  <c r="E38" i="6"/>
  <c r="D48" i="6"/>
  <c r="D47" i="6"/>
  <c r="D46" i="6"/>
  <c r="D45" i="6"/>
  <c r="D44" i="6"/>
  <c r="D43" i="6"/>
  <c r="D42" i="6"/>
  <c r="H25" i="6"/>
  <c r="E25" i="6"/>
  <c r="AL59" i="5"/>
  <c r="AM59" i="5"/>
  <c r="Q37" i="6"/>
  <c r="M37" i="6"/>
  <c r="I37" i="6"/>
  <c r="E37" i="6"/>
  <c r="E29" i="6"/>
  <c r="AM73" i="5"/>
  <c r="AM75" i="5"/>
  <c r="K21" i="6"/>
  <c r="G21" i="6"/>
  <c r="G19" i="6"/>
  <c r="G16" i="6"/>
  <c r="G18" i="6"/>
  <c r="G15" i="6"/>
  <c r="G17" i="6"/>
  <c r="G14" i="6"/>
  <c r="AO117" i="6" l="1"/>
  <c r="AN117" i="6"/>
  <c r="AO116" i="6"/>
  <c r="AN116" i="6"/>
  <c r="AO115" i="6"/>
  <c r="AN115" i="6"/>
  <c r="AO114" i="6"/>
  <c r="AN114" i="6"/>
  <c r="AO113" i="6"/>
  <c r="AN113" i="6"/>
  <c r="AO112" i="6"/>
  <c r="AN112" i="6"/>
  <c r="AM114" i="6"/>
  <c r="N29" i="6"/>
  <c r="AN144" i="6" l="1"/>
  <c r="AO97" i="6"/>
  <c r="AO96" i="6"/>
  <c r="AO95" i="6"/>
  <c r="AO94" i="6"/>
  <c r="AO93" i="6"/>
  <c r="AO92" i="6"/>
  <c r="AO91" i="6"/>
  <c r="AO90" i="6"/>
  <c r="AO89" i="6"/>
  <c r="AO88" i="6"/>
  <c r="AO87" i="6"/>
  <c r="AO86" i="6"/>
  <c r="AO85" i="6"/>
  <c r="AO84" i="6"/>
  <c r="AN84" i="6"/>
  <c r="AM84" i="6"/>
  <c r="AM69" i="6"/>
  <c r="I69" i="6"/>
  <c r="AM68" i="6"/>
  <c r="I68" i="6"/>
  <c r="O65" i="6"/>
  <c r="E65" i="6"/>
  <c r="O64" i="6"/>
  <c r="E64" i="6"/>
  <c r="O63" i="6"/>
  <c r="E63" i="6"/>
  <c r="AM48" i="6"/>
  <c r="AM47" i="6"/>
  <c r="AM46" i="6"/>
  <c r="AM45" i="6"/>
  <c r="AM44" i="6"/>
  <c r="AM43" i="6"/>
  <c r="AM42" i="6"/>
  <c r="AM40" i="6"/>
  <c r="I40" i="6"/>
  <c r="E40" i="6"/>
  <c r="AM38" i="6"/>
  <c r="AM37" i="6"/>
  <c r="AM34" i="6"/>
  <c r="I34" i="6"/>
  <c r="E34" i="6"/>
  <c r="N32" i="6"/>
  <c r="E32" i="6"/>
  <c r="N31" i="6"/>
  <c r="E31" i="6"/>
  <c r="AF8" i="6"/>
  <c r="AG203" i="6" s="1"/>
  <c r="E8" i="6"/>
  <c r="E7" i="6"/>
  <c r="D202" i="6" s="1"/>
  <c r="AO69" i="6" l="1"/>
  <c r="AG154" i="6"/>
  <c r="D58" i="6"/>
  <c r="D153" i="6"/>
  <c r="AG108" i="6"/>
  <c r="AS119" i="6"/>
  <c r="M209" i="6" s="1"/>
  <c r="AP119" i="6"/>
  <c r="AG59" i="6"/>
  <c r="D107" i="6"/>
  <c r="AM57" i="5"/>
  <c r="AM56" i="5"/>
  <c r="AL67" i="5"/>
  <c r="AL56" i="5"/>
  <c r="AM61" i="5"/>
  <c r="AM58" i="5" l="1"/>
  <c r="Y58" i="5" s="1"/>
  <c r="AM209" i="6"/>
  <c r="M208" i="6"/>
  <c r="AM208" i="6" s="1"/>
  <c r="M206" i="6"/>
  <c r="AM206" i="6" s="1"/>
  <c r="AM191" i="6"/>
  <c r="AN119" i="6"/>
  <c r="AN14" i="6" l="1"/>
  <c r="AA99" i="5"/>
  <c r="AA97" i="5"/>
  <c r="AA96" i="5"/>
  <c r="AA95" i="5"/>
  <c r="K95" i="5"/>
  <c r="K96" i="5"/>
  <c r="K97" i="5"/>
  <c r="K98" i="5"/>
  <c r="AA100" i="5"/>
  <c r="AA98" i="5"/>
  <c r="K94" i="5"/>
  <c r="AO82" i="6" s="1" a="1"/>
  <c r="AO82" i="6" s="1"/>
  <c r="AM83" i="6" s="1"/>
  <c r="AA94" i="5"/>
  <c r="K99" i="5"/>
  <c r="K100" i="5"/>
  <c r="AG96" i="5"/>
  <c r="AG97" i="5"/>
  <c r="AG98" i="5"/>
  <c r="AG99" i="5"/>
  <c r="Q94" i="5"/>
  <c r="AO83" i="6" s="1" a="1"/>
  <c r="AO83" i="6" s="1"/>
  <c r="Q95" i="5"/>
  <c r="Q96" i="5"/>
  <c r="Q97" i="5"/>
  <c r="Q98" i="5"/>
  <c r="Q99" i="5"/>
  <c r="AG95" i="5"/>
  <c r="Q100" i="5"/>
  <c r="AG94" i="5"/>
  <c r="AG100" i="5"/>
  <c r="M198" i="6"/>
  <c r="AM198" i="6" s="1"/>
  <c r="Y61" i="5"/>
  <c r="K23" i="6" s="1"/>
  <c r="AE23" i="6" s="1"/>
  <c r="K18" i="6"/>
  <c r="AE18" i="6" s="1"/>
  <c r="Y59" i="5"/>
  <c r="K19" i="6" s="1"/>
  <c r="AE19" i="6" s="1"/>
  <c r="W17" i="5"/>
  <c r="AM87" i="5"/>
  <c r="AM86" i="5"/>
  <c r="AS83" i="5"/>
  <c r="AM84" i="5"/>
  <c r="AM45" i="5"/>
  <c r="AM44" i="5"/>
  <c r="AM43" i="5"/>
  <c r="AM42" i="5"/>
  <c r="AM41" i="5"/>
  <c r="AM40" i="5"/>
  <c r="AM28" i="5"/>
  <c r="AM29" i="5"/>
  <c r="AM30" i="5"/>
  <c r="AM31" i="5"/>
  <c r="AM32" i="5"/>
  <c r="AM27" i="5"/>
  <c r="AM83" i="5"/>
  <c r="AO86" i="5" l="1"/>
  <c r="AE95" i="6"/>
  <c r="AE86" i="6"/>
  <c r="AE84" i="6"/>
  <c r="AE94" i="6"/>
  <c r="AE85" i="6"/>
  <c r="AE93" i="6"/>
  <c r="AE92" i="6"/>
  <c r="AE91" i="6"/>
  <c r="AE90" i="6"/>
  <c r="AE89" i="6"/>
  <c r="AE97" i="6"/>
  <c r="AE88" i="6"/>
  <c r="AE96" i="6"/>
  <c r="AE87" i="6"/>
  <c r="AK90" i="6"/>
  <c r="Q91" i="6"/>
  <c r="AK96" i="6"/>
  <c r="Q85" i="6"/>
  <c r="AK89" i="6"/>
  <c r="Q92" i="6"/>
  <c r="AK88" i="6"/>
  <c r="Q93" i="6"/>
  <c r="AK87" i="6"/>
  <c r="Q94" i="6"/>
  <c r="AK97" i="6"/>
  <c r="AK95" i="6"/>
  <c r="AK86" i="6"/>
  <c r="Q86" i="6"/>
  <c r="Q95" i="6"/>
  <c r="Q89" i="6"/>
  <c r="Q90" i="6"/>
  <c r="AK94" i="6"/>
  <c r="AK85" i="6"/>
  <c r="Q87" i="6"/>
  <c r="Q96" i="6"/>
  <c r="AK91" i="6"/>
  <c r="AK93" i="6"/>
  <c r="AK84" i="6"/>
  <c r="Q88" i="6"/>
  <c r="Q97" i="6"/>
  <c r="AK92" i="6"/>
  <c r="Q84" i="6"/>
  <c r="K85" i="6"/>
  <c r="K94" i="6"/>
  <c r="K86" i="6"/>
  <c r="K95" i="6"/>
  <c r="K87" i="6"/>
  <c r="K96" i="6"/>
  <c r="K88" i="6"/>
  <c r="K97" i="6"/>
  <c r="K84" i="6"/>
  <c r="K89" i="6"/>
  <c r="K90" i="6"/>
  <c r="K91" i="6"/>
  <c r="K92" i="6"/>
  <c r="K93" i="6"/>
  <c r="AM82" i="5"/>
  <c r="L184" i="5" s="1"/>
  <c r="AL184" i="5" s="1"/>
  <c r="AL187" i="5"/>
  <c r="I112" i="6"/>
  <c r="AL82" i="5"/>
  <c r="AL63" i="5"/>
  <c r="AB35" i="5"/>
  <c r="X35" i="5"/>
  <c r="T35" i="5"/>
  <c r="P35" i="5"/>
  <c r="L35" i="5"/>
  <c r="AB22" i="5"/>
  <c r="X22" i="5"/>
  <c r="T22" i="5"/>
  <c r="AL95" i="5"/>
  <c r="AM95" i="5"/>
  <c r="AL96" i="5"/>
  <c r="AM96" i="5"/>
  <c r="AL97" i="5"/>
  <c r="AM97" i="5"/>
  <c r="AL98" i="5"/>
  <c r="AM98" i="5"/>
  <c r="AL99" i="5"/>
  <c r="AM99" i="5"/>
  <c r="AL100" i="5"/>
  <c r="AM100" i="5"/>
  <c r="AM94" i="5"/>
  <c r="AL94" i="5"/>
  <c r="AM71" i="5"/>
  <c r="AL71" i="5"/>
  <c r="AL69" i="5"/>
  <c r="AM65" i="5"/>
  <c r="AE105" i="5"/>
  <c r="AE104" i="5"/>
  <c r="D104" i="5"/>
  <c r="AE55" i="5"/>
  <c r="AE54" i="5"/>
  <c r="D54" i="5"/>
  <c r="J78" i="6"/>
  <c r="BN1" i="5"/>
  <c r="AM120" i="6" l="1"/>
  <c r="AM112" i="6"/>
  <c r="AO78" i="6"/>
  <c r="AO79" i="6"/>
  <c r="M195" i="6" s="1"/>
  <c r="AM195" i="6" s="1"/>
  <c r="L186" i="5"/>
  <c r="AL186" i="5" s="1"/>
  <c r="I117" i="6"/>
  <c r="I116" i="6"/>
  <c r="I115" i="6"/>
  <c r="I113" i="6"/>
  <c r="AM26" i="5"/>
  <c r="L181" i="5" s="1"/>
  <c r="AM107" i="5"/>
  <c r="L193" i="5" s="1"/>
  <c r="AM39" i="5"/>
  <c r="L182" i="5" s="1"/>
  <c r="AM125" i="6" l="1"/>
  <c r="AM117" i="6"/>
  <c r="AM124" i="6"/>
  <c r="AM116" i="6"/>
  <c r="AM123" i="6"/>
  <c r="AM115" i="6"/>
  <c r="AM121" i="6"/>
  <c r="AM113" i="6"/>
  <c r="AL193" i="5"/>
  <c r="L191" i="5"/>
  <c r="AL191" i="5" s="1"/>
  <c r="AL182" i="5"/>
  <c r="AL181" i="5"/>
  <c r="H101" i="5"/>
  <c r="AM102" i="5" s="1"/>
  <c r="L188" i="5" s="1"/>
  <c r="AL188" i="5" l="1"/>
  <c r="AL194" i="5" l="1"/>
  <c r="AL179" i="5" s="1"/>
  <c r="AM119" i="6"/>
  <c r="M197" i="6" l="1"/>
  <c r="AM197" i="6" s="1"/>
  <c r="M193" i="6" l="1"/>
  <c r="AM193" i="6" s="1"/>
  <c r="AM189" i="6" s="1"/>
  <c r="A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969BA864-3E1D-4214-90E8-1ACAC74C9097}">
      <text>
        <r>
          <rPr>
            <b/>
            <sz val="9"/>
            <color indexed="81"/>
            <rFont val="Tahoma"/>
            <family val="2"/>
          </rPr>
          <t>Note:</t>
        </r>
        <r>
          <rPr>
            <sz val="9"/>
            <color indexed="81"/>
            <rFont val="Tahoma"/>
            <family val="2"/>
          </rPr>
          <t xml:space="preserve">
Enter street address of proposed development</t>
        </r>
      </text>
    </comment>
    <comment ref="AE8" authorId="0" shapeId="0" xr:uid="{14183408-3F89-4624-A0E7-A72548885A23}">
      <text>
        <r>
          <rPr>
            <b/>
            <sz val="9"/>
            <color indexed="81"/>
            <rFont val="Tahoma"/>
            <family val="2"/>
          </rPr>
          <t>Note:</t>
        </r>
        <r>
          <rPr>
            <sz val="9"/>
            <color indexed="81"/>
            <rFont val="Tahoma"/>
            <family val="2"/>
          </rPr>
          <t xml:space="preserve">
Provide a unique BMP ID
Examples:
   Pond 1
   Pond A
   1
   A</t>
        </r>
      </text>
    </comment>
    <comment ref="AA13" authorId="0" shapeId="0" xr:uid="{26453612-1BCB-4486-BD63-245986490C03}">
      <text>
        <r>
          <rPr>
            <b/>
            <sz val="9"/>
            <color indexed="81"/>
            <rFont val="Tahoma"/>
            <family val="2"/>
          </rPr>
          <t>Note:</t>
        </r>
        <r>
          <rPr>
            <sz val="9"/>
            <color indexed="81"/>
            <rFont val="Tahoma"/>
            <family val="2"/>
          </rPr>
          <t xml:space="preserve">
If there is no EIA, enter 0</t>
        </r>
      </text>
    </comment>
    <comment ref="L23" authorId="0" shapeId="0" xr:uid="{D6F0AAC7-C2C3-4965-A0D9-1DC4E640F66A}">
      <text>
        <r>
          <rPr>
            <b/>
            <sz val="9"/>
            <color indexed="81"/>
            <rFont val="Tahoma"/>
            <family val="2"/>
          </rPr>
          <t>Note:</t>
        </r>
        <r>
          <rPr>
            <sz val="9"/>
            <color indexed="81"/>
            <rFont val="Tahoma"/>
            <family val="2"/>
          </rPr>
          <t xml:space="preserve">
Enter a unique Basin ID for each subbasin</t>
        </r>
      </text>
    </comment>
    <comment ref="L36" authorId="0" shapeId="0" xr:uid="{960EA235-FF90-4DDB-A65F-E4FE384AE5D0}">
      <text>
        <r>
          <rPr>
            <b/>
            <sz val="9"/>
            <color indexed="81"/>
            <rFont val="Tahoma"/>
            <family val="2"/>
          </rPr>
          <t>Note:</t>
        </r>
        <r>
          <rPr>
            <sz val="9"/>
            <color indexed="81"/>
            <rFont val="Tahoma"/>
            <family val="2"/>
          </rPr>
          <t xml:space="preserve">
Enter a unique Basin ID for each subbasin</t>
        </r>
      </text>
    </comment>
    <comment ref="C73" authorId="0" shapeId="0" xr:uid="{7606F0DD-2BCC-467D-9CD8-3F39D8086A9C}">
      <text>
        <r>
          <rPr>
            <b/>
            <sz val="9"/>
            <color indexed="81"/>
            <rFont val="Tahoma"/>
            <family val="2"/>
          </rPr>
          <t>Note:</t>
        </r>
        <r>
          <rPr>
            <sz val="9"/>
            <color indexed="81"/>
            <rFont val="Tahoma"/>
            <family val="2"/>
          </rPr>
          <t xml:space="preserve">
Select control structure type:  Orifice or Weir</t>
        </r>
      </text>
    </comment>
    <comment ref="O86" authorId="0" shapeId="0" xr:uid="{8A94A3A5-89DD-491A-8357-9DDE2417F559}">
      <text>
        <r>
          <rPr>
            <b/>
            <sz val="9"/>
            <color indexed="81"/>
            <rFont val="Tahoma"/>
            <family val="2"/>
          </rPr>
          <t>Note:</t>
        </r>
        <r>
          <rPr>
            <sz val="9"/>
            <color indexed="81"/>
            <rFont val="Tahoma"/>
            <family val="2"/>
          </rPr>
          <t xml:space="preserve">
Enter number in decimal format.  Example: 00.000000</t>
        </r>
      </text>
    </comment>
    <comment ref="W86" authorId="0" shapeId="0" xr:uid="{153AAA67-EC87-424B-9EEA-B6F6CCF4532E}">
      <text>
        <r>
          <rPr>
            <b/>
            <sz val="9"/>
            <color indexed="81"/>
            <rFont val="Tahoma"/>
            <family val="2"/>
          </rPr>
          <t>Note:</t>
        </r>
        <r>
          <rPr>
            <sz val="9"/>
            <color indexed="81"/>
            <rFont val="Tahoma"/>
            <family val="2"/>
          </rPr>
          <t xml:space="preserve">
Enter number in decimal format.  Example: 00.000000</t>
        </r>
      </text>
    </comment>
    <comment ref="C94" authorId="0" shapeId="0" xr:uid="{83CA26DA-EF06-47E0-9A5C-4276ABB509C1}">
      <text>
        <r>
          <rPr>
            <b/>
            <sz val="9"/>
            <color indexed="81"/>
            <rFont val="Tahoma"/>
            <family val="2"/>
          </rPr>
          <t>Note:</t>
        </r>
        <r>
          <rPr>
            <sz val="9"/>
            <color indexed="81"/>
            <rFont val="Tahoma"/>
            <family val="2"/>
          </rPr>
          <t xml:space="preserve">
Include the elevation that represents the WQv</t>
        </r>
      </text>
    </comment>
    <comment ref="F170" authorId="0" shapeId="0" xr:uid="{E9E06746-A9D5-4199-B075-0786D5050FC5}">
      <text>
        <r>
          <rPr>
            <b/>
            <sz val="9"/>
            <color indexed="81"/>
            <rFont val="Tahoma"/>
            <family val="2"/>
          </rPr>
          <t>Note:</t>
        </r>
        <r>
          <rPr>
            <sz val="9"/>
            <color indexed="81"/>
            <rFont val="Tahoma"/>
            <family val="2"/>
          </rPr>
          <t xml:space="preserve">
Enter street addres of proposed development</t>
        </r>
      </text>
    </comment>
    <comment ref="AD175" authorId="0" shapeId="0" xr:uid="{BD3F963D-CDF5-4003-B635-A3D178EE3834}">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ACDA3FEA-1B0D-43E0-B4B1-267536EC64F9}">
      <text>
        <r>
          <rPr>
            <b/>
            <sz val="9"/>
            <color indexed="81"/>
            <rFont val="Tahoma"/>
            <family val="2"/>
          </rPr>
          <t>Note:</t>
        </r>
        <r>
          <rPr>
            <sz val="9"/>
            <color indexed="81"/>
            <rFont val="Tahoma"/>
            <family val="2"/>
          </rPr>
          <t xml:space="preserve">
Enter street address of proposed development</t>
        </r>
      </text>
    </comment>
    <comment ref="T9" authorId="0" shapeId="0" xr:uid="{9FC8AE7B-CB43-4BDE-BA06-61C3AEAA15C7}">
      <text>
        <r>
          <rPr>
            <b/>
            <sz val="9"/>
            <color indexed="81"/>
            <rFont val="Tahoma"/>
            <family val="2"/>
          </rPr>
          <t>Note:</t>
        </r>
        <r>
          <rPr>
            <sz val="9"/>
            <color indexed="81"/>
            <rFont val="Tahoma"/>
            <family val="2"/>
          </rPr>
          <t xml:space="preserve">
Enter number in decimal format.  Example: 00.000000</t>
        </r>
      </text>
    </comment>
    <comment ref="T10" authorId="0" shapeId="0" xr:uid="{E68EE989-411B-43BA-8CF6-BA8BBAC49317}">
      <text>
        <r>
          <rPr>
            <b/>
            <sz val="9"/>
            <color indexed="81"/>
            <rFont val="Tahoma"/>
            <family val="2"/>
          </rPr>
          <t>Note:</t>
        </r>
        <r>
          <rPr>
            <sz val="9"/>
            <color indexed="81"/>
            <rFont val="Tahoma"/>
            <family val="2"/>
          </rPr>
          <t xml:space="preserve">
Enter number in decimal format.  Example: -00.000000</t>
        </r>
      </text>
    </comment>
    <comment ref="E81" authorId="0" shapeId="0" xr:uid="{027B424A-98D4-462B-BD39-842430FE471B}">
      <text>
        <r>
          <rPr>
            <b/>
            <sz val="9"/>
            <color indexed="81"/>
            <rFont val="Tahoma"/>
            <family val="2"/>
          </rPr>
          <t>Note:</t>
        </r>
        <r>
          <rPr>
            <sz val="9"/>
            <color indexed="81"/>
            <rFont val="Tahoma"/>
            <family val="2"/>
          </rPr>
          <t xml:space="preserve">
Enter street address of proposed development</t>
        </r>
      </text>
    </comment>
    <comment ref="AC86" authorId="0" shapeId="0" xr:uid="{06CE3E21-BD3E-4B36-B516-4D58C95649A1}">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or provide an explanation in the comments section.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AE18" authorId="0" shapeId="0" xr:uid="{F76BD018-022F-47CF-A1F2-E251A08B9C25}">
      <text>
        <r>
          <rPr>
            <b/>
            <sz val="9"/>
            <color indexed="81"/>
            <rFont val="Tahoma"/>
            <family val="2"/>
          </rPr>
          <t>Note:</t>
        </r>
        <r>
          <rPr>
            <sz val="9"/>
            <color indexed="81"/>
            <rFont val="Tahoma"/>
            <family val="2"/>
          </rPr>
          <t xml:space="preserve">
Units must be selected on the Design Form</t>
        </r>
      </text>
    </comment>
    <comment ref="V84" authorId="0" shapeId="0" xr:uid="{618ADD65-A033-4CF2-B077-6565CBECBC15}">
      <text>
        <r>
          <rPr>
            <b/>
            <sz val="9"/>
            <color indexed="81"/>
            <rFont val="Tahoma"/>
            <family val="2"/>
          </rPr>
          <t>Note:</t>
        </r>
        <r>
          <rPr>
            <sz val="9"/>
            <color indexed="81"/>
            <rFont val="Tahoma"/>
            <family val="2"/>
          </rPr>
          <t xml:space="preserve">
Include the elevation that represents the WQv</t>
        </r>
      </text>
    </comment>
    <comment ref="E180" authorId="0" shapeId="0" xr:uid="{CDBFE9BA-6BD3-4959-8F75-0038818DF8E4}">
      <text>
        <r>
          <rPr>
            <b/>
            <sz val="9"/>
            <color indexed="81"/>
            <rFont val="Tahoma"/>
            <family val="2"/>
          </rPr>
          <t>Note:</t>
        </r>
        <r>
          <rPr>
            <sz val="9"/>
            <color indexed="81"/>
            <rFont val="Tahoma"/>
            <family val="2"/>
          </rPr>
          <t xml:space="preserve">
Enter street addres of proposed development</t>
        </r>
      </text>
    </comment>
    <comment ref="AC185" authorId="0" shapeId="0" xr:uid="{F8192A9D-A44A-42CA-BB2D-221237250746}">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<sst xmlns="http://schemas.openxmlformats.org/spreadsheetml/2006/main" count="1207" uniqueCount="569">
  <si>
    <t>Development Information</t>
  </si>
  <si>
    <t>Name:</t>
  </si>
  <si>
    <t>Proposed Impervious Area (PIA)</t>
  </si>
  <si>
    <t>Pre-Development</t>
  </si>
  <si>
    <t>Curve Number:</t>
  </si>
  <si>
    <t>(WQ)</t>
  </si>
  <si>
    <t>(2-yr)</t>
  </si>
  <si>
    <t>(5-yr)</t>
  </si>
  <si>
    <t>(10-yr)</t>
  </si>
  <si>
    <t>(25-yr)</t>
  </si>
  <si>
    <t>(100-yr)</t>
  </si>
  <si>
    <t>Post-Development</t>
  </si>
  <si>
    <t>Post Total</t>
  </si>
  <si>
    <t>Pre Total</t>
  </si>
  <si>
    <t>Outfall Location</t>
  </si>
  <si>
    <t>Elevation</t>
  </si>
  <si>
    <t>Area</t>
  </si>
  <si>
    <t>Professional Engineer Certification</t>
  </si>
  <si>
    <t>Address:</t>
  </si>
  <si>
    <t>Date:</t>
  </si>
  <si>
    <t>Comments:</t>
  </si>
  <si>
    <t>Material</t>
  </si>
  <si>
    <t>Concrete</t>
  </si>
  <si>
    <t>Metal</t>
  </si>
  <si>
    <t>HDPP</t>
  </si>
  <si>
    <t>PVC</t>
  </si>
  <si>
    <t>HDPE</t>
  </si>
  <si>
    <t>Material:</t>
  </si>
  <si>
    <t>Other</t>
  </si>
  <si>
    <t>Select</t>
  </si>
  <si>
    <t>Shape:</t>
  </si>
  <si>
    <t>Shape</t>
  </si>
  <si>
    <t>BMP ID:</t>
  </si>
  <si>
    <r>
      <t>Water Quality Volume (WQ</t>
    </r>
    <r>
      <rPr>
        <vertAlign val="subscript"/>
        <sz val="10"/>
        <color theme="1"/>
        <rFont val="Calibri"/>
        <family val="2"/>
      </rPr>
      <t>v</t>
    </r>
    <r>
      <rPr>
        <sz val="10"/>
        <color theme="1"/>
        <rFont val="Calibri"/>
        <family val="2"/>
        <scheme val="minor"/>
      </rPr>
      <t>):</t>
    </r>
  </si>
  <si>
    <r>
      <t>ft</t>
    </r>
    <r>
      <rPr>
        <vertAlign val="superscript"/>
        <sz val="8"/>
        <color theme="1"/>
        <rFont val="Calibri"/>
        <family val="2"/>
      </rPr>
      <t>3</t>
    </r>
  </si>
  <si>
    <r>
      <t>WQ</t>
    </r>
    <r>
      <rPr>
        <vertAlign val="subscript"/>
        <sz val="10"/>
        <color theme="1"/>
        <rFont val="Calibri"/>
        <family val="2"/>
      </rPr>
      <t>v</t>
    </r>
    <r>
      <rPr>
        <sz val="10"/>
        <color theme="1"/>
        <rFont val="Calibri"/>
        <family val="2"/>
        <scheme val="minor"/>
      </rPr>
      <t xml:space="preserve"> = </t>
    </r>
  </si>
  <si>
    <t>Width:</t>
  </si>
  <si>
    <t>Inv. EL</t>
  </si>
  <si>
    <t>in</t>
  </si>
  <si>
    <t>ft</t>
  </si>
  <si>
    <t>Length:</t>
  </si>
  <si>
    <t>Top EL.:</t>
  </si>
  <si>
    <t>Crest EL.:</t>
  </si>
  <si>
    <t>Latitude:</t>
  </si>
  <si>
    <t>Longitude:</t>
  </si>
  <si>
    <t>Basin ID:</t>
  </si>
  <si>
    <t>Cumulative Vol.</t>
  </si>
  <si>
    <t>Width</t>
  </si>
  <si>
    <t>Time of Concentration (min):</t>
  </si>
  <si>
    <t>Additional Impervious Area (AIA) = PIA - EIA</t>
  </si>
  <si>
    <t>AIA =</t>
  </si>
  <si>
    <t>Design</t>
  </si>
  <si>
    <t>As-Built</t>
  </si>
  <si>
    <t>Water Quality Volume (WQv)</t>
  </si>
  <si>
    <t>WQv Required:</t>
  </si>
  <si>
    <t>WQv Provided:</t>
  </si>
  <si>
    <r>
      <t>Pre Q
(ft</t>
    </r>
    <r>
      <rPr>
        <vertAlign val="superscript"/>
        <sz val="8"/>
        <color theme="1"/>
        <rFont val="Calibri"/>
        <family val="2"/>
      </rPr>
      <t>3</t>
    </r>
    <r>
      <rPr>
        <sz val="10"/>
        <color theme="1"/>
        <rFont val="Calibri"/>
        <family val="2"/>
        <scheme val="minor"/>
      </rPr>
      <t>/s)</t>
    </r>
  </si>
  <si>
    <r>
      <t>Pond Out 
Q (ft</t>
    </r>
    <r>
      <rPr>
        <vertAlign val="superscript"/>
        <sz val="8"/>
        <color theme="1"/>
        <rFont val="Calibri"/>
        <family val="2"/>
      </rPr>
      <t>3</t>
    </r>
    <r>
      <rPr>
        <sz val="10"/>
        <color theme="1"/>
        <rFont val="Calibri"/>
        <family val="2"/>
        <scheme val="minor"/>
      </rPr>
      <t>/s)</t>
    </r>
  </si>
  <si>
    <r>
      <t>Total Post 
Q (ft</t>
    </r>
    <r>
      <rPr>
        <vertAlign val="superscript"/>
        <sz val="8"/>
        <color theme="1"/>
        <rFont val="Calibri"/>
        <family val="2"/>
      </rPr>
      <t>3</t>
    </r>
    <r>
      <rPr>
        <sz val="10"/>
        <color theme="1"/>
        <rFont val="Calibri"/>
        <family val="2"/>
        <scheme val="minor"/>
      </rPr>
      <t>/s)</t>
    </r>
  </si>
  <si>
    <t>Type</t>
  </si>
  <si>
    <t>Enter data as applicable for the proposed design.</t>
  </si>
  <si>
    <t>General Instructions</t>
  </si>
  <si>
    <t>If a field is highlighted yellow after a number is entered, the yellow highlight may indicate an error and/or concern.  Once the error and/or concern is resolved, the yellow highlight will be removed.  All yellow highlighted cells shall be resolved or an explanitation provided prior to completing the form.</t>
  </si>
  <si>
    <t>Field Types</t>
  </si>
  <si>
    <t>Supplemental Instructions</t>
  </si>
  <si>
    <t>Use the drop down list to select a shape.</t>
  </si>
  <si>
    <t>Riprap</t>
  </si>
  <si>
    <t>Earthen</t>
  </si>
  <si>
    <t>Geotextile</t>
  </si>
  <si>
    <t>Total Post Q &gt; Pre Q</t>
  </si>
  <si>
    <t>Max Stage</t>
  </si>
  <si>
    <t>Total Post</t>
  </si>
  <si>
    <t>Post Total not completed</t>
  </si>
  <si>
    <t>Length</t>
  </si>
  <si>
    <t>Crest</t>
  </si>
  <si>
    <t>Top</t>
  </si>
  <si>
    <t>E. Spillway</t>
  </si>
  <si>
    <t>Design Response</t>
  </si>
  <si>
    <t>Emergency Spillway Section not completed</t>
  </si>
  <si>
    <t>Max Stage:</t>
  </si>
  <si>
    <t>Automated Review Checks</t>
  </si>
  <si>
    <t>Form Section</t>
  </si>
  <si>
    <t>Pre-Development:</t>
  </si>
  <si>
    <t>Post-Development:</t>
  </si>
  <si>
    <t>Emergency Spillway:</t>
  </si>
  <si>
    <t>Pond Discharge Summary:</t>
  </si>
  <si>
    <t>Total Post Q:</t>
  </si>
  <si>
    <t>Photographs, at a minimum, shall include the following:</t>
  </si>
  <si>
    <t>The developer / owner shall retain the services of a professional land surveyor to:</t>
  </si>
  <si>
    <t>Develop an as-built drawing.</t>
  </si>
  <si>
    <t>a.</t>
  </si>
  <si>
    <t>b.</t>
  </si>
  <si>
    <t>The developer shall retain the services of a professional engineer to:</t>
  </si>
  <si>
    <t>Photographs</t>
  </si>
  <si>
    <t>Storm sewers showing pipes, inlets, junction boxes, outlets, outlet protection, and invert elevations</t>
  </si>
  <si>
    <t>Detail of emergency spillway showing elevations and dimensions</t>
  </si>
  <si>
    <t>Outlet pipe discharge location and outlet protection</t>
  </si>
  <si>
    <t>Emergency spillway and discharge location</t>
  </si>
  <si>
    <t>Prior to approval of the Final Plat.</t>
  </si>
  <si>
    <t>Provide ALL required attachments:</t>
  </si>
  <si>
    <t>As-built survey, at a minimum, shall include the following:</t>
  </si>
  <si>
    <t>The issuance of a Certificate of Occupancy; and/or,</t>
  </si>
  <si>
    <t>e.</t>
  </si>
  <si>
    <t>c.</t>
  </si>
  <si>
    <t>d.</t>
  </si>
  <si>
    <t>f.</t>
  </si>
  <si>
    <t>•</t>
  </si>
  <si>
    <t>Outfall Location:</t>
  </si>
  <si>
    <t>Latitude and/or Longitude not provided</t>
  </si>
  <si>
    <t xml:space="preserve">This is a calculated field.  Once the required information is entered, the orange highlight will be removed. </t>
  </si>
  <si>
    <t>Use the drop down list to select a material.</t>
  </si>
  <si>
    <t>Pond Top EL.:</t>
  </si>
  <si>
    <t>General design standards and requirements shall be as follows:</t>
  </si>
  <si>
    <t xml:space="preserve"> As-built Survey</t>
  </si>
  <si>
    <t xml:space="preserve"> As-built H&amp;H Calculations</t>
  </si>
  <si>
    <t xml:space="preserve"> O&amp;M Agreement</t>
  </si>
  <si>
    <t>Attachments:</t>
  </si>
  <si>
    <t xml:space="preserve"> Photos</t>
  </si>
  <si>
    <t xml:space="preserve"> Yes</t>
  </si>
  <si>
    <t xml:space="preserve"> No</t>
  </si>
  <si>
    <r>
      <t>Pre Q
(ft</t>
    </r>
    <r>
      <rPr>
        <vertAlign val="superscript"/>
        <sz val="9"/>
        <color theme="1"/>
        <rFont val="Calibri"/>
        <family val="2"/>
      </rPr>
      <t>3</t>
    </r>
    <r>
      <rPr>
        <sz val="9"/>
        <color theme="1"/>
        <rFont val="Calibri"/>
        <family val="2"/>
        <scheme val="minor"/>
      </rPr>
      <t>/s)</t>
    </r>
  </si>
  <si>
    <r>
      <t>Pond In Q
(ft</t>
    </r>
    <r>
      <rPr>
        <vertAlign val="superscript"/>
        <sz val="9"/>
        <color theme="1"/>
        <rFont val="Calibri"/>
        <family val="2"/>
      </rPr>
      <t>3</t>
    </r>
    <r>
      <rPr>
        <sz val="9"/>
        <color theme="1"/>
        <rFont val="Calibri"/>
        <family val="2"/>
        <scheme val="minor"/>
      </rPr>
      <t>/s)</t>
    </r>
  </si>
  <si>
    <r>
      <t>Pond Out 
Q (ft</t>
    </r>
    <r>
      <rPr>
        <vertAlign val="superscript"/>
        <sz val="9"/>
        <color theme="1"/>
        <rFont val="Calibri"/>
        <family val="2"/>
      </rPr>
      <t>3</t>
    </r>
    <r>
      <rPr>
        <sz val="9"/>
        <color theme="1"/>
        <rFont val="Calibri"/>
        <family val="2"/>
        <scheme val="minor"/>
      </rPr>
      <t>/s)</t>
    </r>
  </si>
  <si>
    <r>
      <t>Total Post 
Q (ft</t>
    </r>
    <r>
      <rPr>
        <vertAlign val="superscript"/>
        <sz val="9"/>
        <color theme="1"/>
        <rFont val="Calibri"/>
        <family val="2"/>
      </rPr>
      <t>3</t>
    </r>
    <r>
      <rPr>
        <sz val="9"/>
        <color theme="1"/>
        <rFont val="Calibri"/>
        <family val="2"/>
        <scheme val="minor"/>
      </rPr>
      <t>/s)</t>
    </r>
  </si>
  <si>
    <t xml:space="preserve"> Design Drawings</t>
  </si>
  <si>
    <t xml:space="preserve"> H&amp;H Calculations</t>
  </si>
  <si>
    <t xml:space="preserve"> Drainage Basin Maps</t>
  </si>
  <si>
    <t>Owner's Information</t>
  </si>
  <si>
    <t xml:space="preserve"> Not Applicable</t>
  </si>
  <si>
    <t xml:space="preserve">Name: </t>
  </si>
  <si>
    <t xml:space="preserve">Address: </t>
  </si>
  <si>
    <t xml:space="preserve">Email: </t>
  </si>
  <si>
    <t xml:space="preserve">HOA Name: </t>
  </si>
  <si>
    <t xml:space="preserve">State: </t>
  </si>
  <si>
    <t xml:space="preserve">Zip Code: </t>
  </si>
  <si>
    <t xml:space="preserve">Phone: </t>
  </si>
  <si>
    <t xml:space="preserve">Title: </t>
  </si>
  <si>
    <t xml:space="preserve">Detail Attached: </t>
  </si>
  <si>
    <t>No</t>
  </si>
  <si>
    <t>Lat</t>
  </si>
  <si>
    <t>Long</t>
  </si>
  <si>
    <t>Lat &amp; Long</t>
  </si>
  <si>
    <r>
      <t>WQ</t>
    </r>
    <r>
      <rPr>
        <vertAlign val="subscript"/>
        <sz val="10"/>
        <color theme="1"/>
        <rFont val="Calibri"/>
        <family val="2"/>
        <scheme val="minor"/>
      </rPr>
      <t>v</t>
    </r>
    <r>
      <rPr>
        <sz val="10"/>
        <color theme="1"/>
        <rFont val="Calibri"/>
        <family val="2"/>
        <scheme val="minor"/>
      </rPr>
      <t>:</t>
    </r>
  </si>
  <si>
    <r>
      <t>WQ</t>
    </r>
    <r>
      <rPr>
        <vertAlign val="subscript"/>
        <sz val="11"/>
        <color theme="1"/>
        <rFont val="Calibri"/>
        <family val="2"/>
        <scheme val="minor"/>
      </rPr>
      <t>v</t>
    </r>
    <r>
      <rPr>
        <sz val="11"/>
        <color theme="1"/>
        <rFont val="Calibri"/>
        <family val="2"/>
        <scheme val="minor"/>
      </rPr>
      <t xml:space="preserve"> Required &gt; WQ</t>
    </r>
    <r>
      <rPr>
        <vertAlign val="subscript"/>
        <sz val="11"/>
        <color theme="1"/>
        <rFont val="Calibri"/>
        <family val="2"/>
        <scheme val="minor"/>
      </rPr>
      <t>v</t>
    </r>
    <r>
      <rPr>
        <sz val="11"/>
        <color theme="1"/>
        <rFont val="Calibri"/>
        <family val="2"/>
        <scheme val="minor"/>
      </rPr>
      <t xml:space="preserve"> Provided</t>
    </r>
  </si>
  <si>
    <t>WQv</t>
  </si>
  <si>
    <t>Pre Q</t>
  </si>
  <si>
    <t>Pond In Q</t>
  </si>
  <si>
    <t>Pre Q:</t>
  </si>
  <si>
    <t>Pond In Q:</t>
  </si>
  <si>
    <t>Montgomery</t>
  </si>
  <si>
    <t>Hoover</t>
  </si>
  <si>
    <t>Prattville</t>
  </si>
  <si>
    <t>Mobile</t>
  </si>
  <si>
    <t xml:space="preserve">Select City: </t>
  </si>
  <si>
    <t>Retention Pond</t>
  </si>
  <si>
    <t xml:space="preserve">Max. Pool EL: </t>
  </si>
  <si>
    <t xml:space="preserve">Normal Pool EL: </t>
  </si>
  <si>
    <t xml:space="preserve"> ac, ac-ft</t>
  </si>
  <si>
    <t xml:space="preserve">Pond Bottom EL: </t>
  </si>
  <si>
    <t xml:space="preserve">Pond Surface Area: </t>
  </si>
  <si>
    <t xml:space="preserve">Pond Volume: </t>
  </si>
  <si>
    <t xml:space="preserve">Forebay Volume: </t>
  </si>
  <si>
    <t xml:space="preserve">Select Units: </t>
  </si>
  <si>
    <t xml:space="preserve">Anti-seep Collar: </t>
  </si>
  <si>
    <t xml:space="preserve">Trash Rack: </t>
  </si>
  <si>
    <t xml:space="preserve">Pond Drain: </t>
  </si>
  <si>
    <t xml:space="preserve">Drain Valve: </t>
  </si>
  <si>
    <t xml:space="preserve"> ft, sq-ft, cu-ft</t>
  </si>
  <si>
    <t>Specific requirements for stormwater retention (wet) ponds:</t>
  </si>
  <si>
    <t>Maximum side slope steepness shall be 3 horizontal to 1 vertical (3:1);</t>
  </si>
  <si>
    <t>Sides and banks shall be grassed or paved;</t>
  </si>
  <si>
    <t xml:space="preserve">Access Road: </t>
  </si>
  <si>
    <t xml:space="preserve">Bottom EL: </t>
  </si>
  <si>
    <t xml:space="preserve">Surface Area: </t>
  </si>
  <si>
    <t xml:space="preserve">Forebay: </t>
  </si>
  <si>
    <t xml:space="preserve">Fence: </t>
  </si>
  <si>
    <t>Yes</t>
  </si>
  <si>
    <t xml:space="preserve">Valve: </t>
  </si>
  <si>
    <t xml:space="preserve">WQv Orifice: </t>
  </si>
  <si>
    <t xml:space="preserve">Outlet Pipe: </t>
  </si>
  <si>
    <t xml:space="preserve">Bottom EL.: </t>
  </si>
  <si>
    <t xml:space="preserve">Width: </t>
  </si>
  <si>
    <t xml:space="preserve">Diameter: </t>
  </si>
  <si>
    <t xml:space="preserve">Material: </t>
  </si>
  <si>
    <t xml:space="preserve">Shape: </t>
  </si>
  <si>
    <t xml:space="preserve">Length: </t>
  </si>
  <si>
    <t xml:space="preserve">Top EL.: </t>
  </si>
  <si>
    <t>Round</t>
  </si>
  <si>
    <t>Rectangle</t>
  </si>
  <si>
    <t>Trapezoid</t>
  </si>
  <si>
    <t>Square</t>
  </si>
  <si>
    <t xml:space="preserve"> Photographs</t>
  </si>
  <si>
    <t>Development Information:</t>
  </si>
  <si>
    <t xml:space="preserve">Date: </t>
  </si>
  <si>
    <t xml:space="preserve">BMP ID: </t>
  </si>
  <si>
    <t xml:space="preserve">Latitude: </t>
  </si>
  <si>
    <t xml:space="preserve">Longitude: </t>
  </si>
  <si>
    <t xml:space="preserve">Company: </t>
  </si>
  <si>
    <t xml:space="preserve">Signature: </t>
  </si>
  <si>
    <t xml:space="preserve">WQv Pool EL: </t>
  </si>
  <si>
    <t>Use the as-built survey data to complete Form 3B – Retention Pond As-built Certification Form;</t>
  </si>
  <si>
    <t>Perform a field survey of the constructed retention pond; and,</t>
  </si>
  <si>
    <t>Form 3B - Retention Pond
As-Built Certification Form</t>
  </si>
  <si>
    <t xml:space="preserve">Select: </t>
  </si>
  <si>
    <t xml:space="preserve">Orifice: </t>
  </si>
  <si>
    <t xml:space="preserve">Crest EL: </t>
  </si>
  <si>
    <t xml:space="preserve">Attachments: </t>
  </si>
  <si>
    <t xml:space="preserve">Buildings / Structures: </t>
  </si>
  <si>
    <t xml:space="preserve">Driveways / Sidewalks: </t>
  </si>
  <si>
    <t xml:space="preserve">Roads: </t>
  </si>
  <si>
    <t xml:space="preserve">Parking: </t>
  </si>
  <si>
    <t xml:space="preserve">Other: </t>
  </si>
  <si>
    <t xml:space="preserve">Total PIA: </t>
  </si>
  <si>
    <t>Select either "Yes" or "No" by placing an "X" in the appropriate box.  Once an "X" is entered, the green highlight will be removed.</t>
  </si>
  <si>
    <t>Automated Review Checks:  Once information and data are entered into the form, the form will check the information entered and identify any potential issues or concerns.  Prior to printing the form, all automated comments shall be resolved.</t>
  </si>
  <si>
    <t>Automated Comments</t>
  </si>
  <si>
    <t>The Supplemental Instructions provide additional guidance and design standards.</t>
  </si>
  <si>
    <t>Once the Design, As-built, or Inspection Forms are completed, there should be no green, yellow, or orange highlighted fields.</t>
  </si>
  <si>
    <t>Provide a low flow ditch in the bottom of the retention pond;</t>
  </si>
  <si>
    <t xml:space="preserve">General overview of the retention pond </t>
  </si>
  <si>
    <t>Pipes that discharge into the retention pond</t>
  </si>
  <si>
    <t>Location where retention pond discharges into receiving stream, culvert, or channel</t>
  </si>
  <si>
    <t>Revision Date:</t>
  </si>
  <si>
    <t>Page 1 of 4</t>
  </si>
  <si>
    <t>Page 4 of 4</t>
  </si>
  <si>
    <t>Page 3 of 4</t>
  </si>
  <si>
    <t>Page 2 of 4</t>
  </si>
  <si>
    <t>Jefferson</t>
  </si>
  <si>
    <t>Velocity
(ft/s)</t>
  </si>
  <si>
    <t>Velocity:</t>
  </si>
  <si>
    <t>Effective Date:</t>
  </si>
  <si>
    <t>1 February 2020</t>
  </si>
  <si>
    <t>1 October 2020</t>
  </si>
  <si>
    <t>1 October 2015</t>
  </si>
  <si>
    <t>1 July 2018</t>
  </si>
  <si>
    <t>Type:</t>
  </si>
  <si>
    <t>City</t>
  </si>
  <si>
    <t>County</t>
  </si>
  <si>
    <t>Maintenance Agreement:</t>
  </si>
  <si>
    <t xml:space="preserve"> Covenant</t>
  </si>
  <si>
    <t>Entity Type:</t>
  </si>
  <si>
    <t>Provides the required water quality volume (WQv);</t>
  </si>
  <si>
    <t xml:space="preserve">Post-development runoff mimics pre-development hydrology to the maximum extent practicable (MEP). </t>
  </si>
  <si>
    <t>By affixing my professional seal and signature on this form, I hereby certify that the retention pond:</t>
  </si>
  <si>
    <t>Drainage areas shown in the hydrology and hydraulic (H&amp;H) calculations drain into the retention pond; and,</t>
  </si>
  <si>
    <t>Velocity</t>
  </si>
  <si>
    <t>By affixing my professional seal and signature on this form, I hereby certify that the retention pond has been constructed in accordance with the approved design.  I further certify that the drainage areas shown in the approved hydrology and hydraulic (H&amp;H) calculations do in fact drain into the retention pond and that the post-development runoff mimics pre-development hydrology to the maximum extent practicable (MEP).</t>
  </si>
  <si>
    <t xml:space="preserve"> As-Built Survey Drawing(s)</t>
  </si>
  <si>
    <t>Printing the form may require some adjustments to the print settings for the printer being used.</t>
  </si>
  <si>
    <t>The calculation methodology shall utilize the National Resource Conservation Resources (NRCS)</t>
  </si>
  <si>
    <t>Urban Hydrology for Small Watersheds Technical Release 55 (TR-55) or equivalent as approved</t>
  </si>
  <si>
    <t>All applicable developments shall be responsible for ensuring that post-development hydrology mimics</t>
  </si>
  <si>
    <t>will not adversely impact and/or cause flooding of structures within the development;</t>
  </si>
  <si>
    <t>Filtration system for the WQv Orifice shall allow the volume of stormwater associated with the WQv</t>
  </si>
  <si>
    <t>to drain slowly from the retention pond within a 48-hour period;</t>
  </si>
  <si>
    <t xml:space="preserve">Maximum water surface elevation in reservoir shall be two-feet or greater below the lowest floor elevation </t>
  </si>
  <si>
    <t>of adjacent structure(s);</t>
  </si>
  <si>
    <t>Retention ponds located in residential subdivisions shall be enclosed with a minimum four-foot high black,</t>
  </si>
  <si>
    <t>vinyl coated chain link fence.  Gate(s) with locks shall be provided for maintenance access.</t>
  </si>
  <si>
    <t>Site features to include but not limited to roads, rights-of-way, property lines, driveways, buildings, parking</t>
  </si>
  <si>
    <t>areas, fences, retaining walls, dumpster pads, etc.</t>
  </si>
  <si>
    <t>outlet pipe, WQ filter, etc.</t>
  </si>
  <si>
    <t>Home Owners Association (HOA) Information</t>
  </si>
  <si>
    <t>Current Logo</t>
  </si>
  <si>
    <t>None:</t>
  </si>
  <si>
    <t>This is a required field.  Once a number or text is entered, the green highlight will be removed.</t>
  </si>
  <si>
    <t>Max Elev.
(ft)</t>
  </si>
  <si>
    <t>Emergency Spillway Freeboard:</t>
  </si>
  <si>
    <t>Freeboard  &lt;  1.0 ft</t>
  </si>
  <si>
    <t xml:space="preserve">City: </t>
  </si>
  <si>
    <t xml:space="preserve">Pond Top EL.: </t>
  </si>
  <si>
    <r>
      <t>WQ</t>
    </r>
    <r>
      <rPr>
        <vertAlign val="subscript"/>
        <sz val="15"/>
        <color theme="1"/>
        <rFont val="Calibri"/>
        <family val="2"/>
      </rPr>
      <t>v</t>
    </r>
    <r>
      <rPr>
        <sz val="10"/>
        <color theme="1"/>
        <rFont val="Calibri"/>
        <family val="2"/>
        <scheme val="minor"/>
      </rPr>
      <t xml:space="preserve"> Required: </t>
    </r>
  </si>
  <si>
    <r>
      <t>WQ</t>
    </r>
    <r>
      <rPr>
        <vertAlign val="subscript"/>
        <sz val="15"/>
        <color theme="1"/>
        <rFont val="Calibri"/>
        <family val="2"/>
      </rPr>
      <t>v</t>
    </r>
    <r>
      <rPr>
        <sz val="10"/>
        <color theme="1"/>
        <rFont val="Calibri"/>
        <family val="2"/>
        <scheme val="minor"/>
      </rPr>
      <t xml:space="preserve"> Provided: </t>
    </r>
  </si>
  <si>
    <t>Comments?</t>
  </si>
  <si>
    <t>Elevation:</t>
  </si>
  <si>
    <t>Pre Total not completed</t>
  </si>
  <si>
    <t>V-notch</t>
  </si>
  <si>
    <t>Permit Type:</t>
  </si>
  <si>
    <t>Max Velocity:</t>
  </si>
  <si>
    <t>Lookup Table</t>
  </si>
  <si>
    <t>Dia./Width/Deg</t>
  </si>
  <si>
    <t>Height</t>
  </si>
  <si>
    <t>Max Velocity</t>
  </si>
  <si>
    <t>Engineering or Building No.</t>
  </si>
  <si>
    <t>Post &lt; 0.5</t>
  </si>
  <si>
    <t xml:space="preserve">Weir: </t>
  </si>
  <si>
    <t>Rainfall depths were obtained from NOAA Atlas 14, Volume 9, Version 2.</t>
  </si>
  <si>
    <t>Complete Design Form with the required design information.  Once the Design Form is completed, most of the Design section of the As-built Form will be prepopulated.</t>
  </si>
  <si>
    <t>Use the drop down list to select an orifice or weir.</t>
  </si>
  <si>
    <t>No. Taken</t>
  </si>
  <si>
    <t>Date</t>
  </si>
  <si>
    <t>g.</t>
  </si>
  <si>
    <t xml:space="preserve">Contact Name: </t>
  </si>
  <si>
    <t>This is a required field.  Place an "X" in the appropriate box and the green highlight will be removed.  In some cases, the selection is optional.  Once an option is completed, additional fields may be highlighted green and in some fields the green highlight will be removed.</t>
  </si>
  <si>
    <t>Drainage basin maps shall show:</t>
  </si>
  <si>
    <t>Provide a drainage basin map for existing conditions</t>
  </si>
  <si>
    <t>Provide a drainage basin map for proposed conditions</t>
  </si>
  <si>
    <t>Property boundary</t>
  </si>
  <si>
    <t>Drainage basins included with the H&amp;H study</t>
  </si>
  <si>
    <t>Contours with adequate contour lables</t>
  </si>
  <si>
    <t>Structures, roads, storm sewer, utilities, drainage easements and other site features</t>
  </si>
  <si>
    <t xml:space="preserve">Pathways used for calculating Time of Concentration (Tc) </t>
  </si>
  <si>
    <t>h.</t>
  </si>
  <si>
    <t>Adjacent properties and site features where stormwater will be discharged from the proposed development</t>
  </si>
  <si>
    <t xml:space="preserve">Insp Report Due: </t>
  </si>
  <si>
    <t>30 Septbember</t>
  </si>
  <si>
    <t>1 September</t>
  </si>
  <si>
    <t>management requirements have been met.</t>
  </si>
  <si>
    <t>If a retention pond encroaches on a floodplain, provide documentaiton showing that all floodplain</t>
  </si>
  <si>
    <t>A retention pond shall not be constructed within the floodway;</t>
  </si>
  <si>
    <t>Installation of a retention pond shall not adversely impact and/or cause flooding</t>
  </si>
  <si>
    <t>of properties located within, upstream, and/or downstream of the development;</t>
  </si>
  <si>
    <t>A stormwater pathway (i.e. piped storm sewer, overland flow, etc.) within the development shall</t>
  </si>
  <si>
    <t>be provided to convey the discharge resulting from a 100-year, 24-hour storm event in a manner that</t>
  </si>
  <si>
    <t>A retention pond shall provide for an emergency spillway designed to convey the discharge resulting from</t>
  </si>
  <si>
    <t xml:space="preserve">WQ Filter: </t>
  </si>
  <si>
    <t xml:space="preserve">Seal: </t>
  </si>
  <si>
    <t>Location of the retention pond, contours, contour labels, spot elevations, outlet control structure, outlet pipe,</t>
  </si>
  <si>
    <t>emergency spillway, and outlet protection</t>
  </si>
  <si>
    <t>Detail of the outlet control structure showing elevations and dimensions of multi-stage riser, orifices, weirs,</t>
  </si>
  <si>
    <t>g</t>
  </si>
  <si>
    <t>Outlet control structure showing multi-stage riser, orifices, weirs, outlet pipe, and WQ filter</t>
  </si>
  <si>
    <t>ENG No.</t>
  </si>
  <si>
    <t>General overview</t>
  </si>
  <si>
    <t>Emergency spillway</t>
  </si>
  <si>
    <t>Outfall to receiving stream / storm sewer</t>
  </si>
  <si>
    <t>Insp Report Due:</t>
  </si>
  <si>
    <t>Units</t>
  </si>
  <si>
    <t>Volume</t>
  </si>
  <si>
    <t>(50-yr)</t>
  </si>
  <si>
    <t>Arch</t>
  </si>
  <si>
    <t>Elliptical</t>
  </si>
  <si>
    <t>Units Check</t>
  </si>
  <si>
    <t>Storms:</t>
  </si>
  <si>
    <t>2, 5, 10, 25, 50, and 100</t>
  </si>
  <si>
    <r>
      <t>Total Post Q is &lt; -0.50 ft</t>
    </r>
    <r>
      <rPr>
        <vertAlign val="superscript"/>
        <sz val="10.8"/>
        <color theme="1"/>
        <rFont val="Calibri"/>
        <family val="2"/>
      </rPr>
      <t>3</t>
    </r>
    <r>
      <rPr>
        <sz val="11"/>
        <color theme="1"/>
        <rFont val="Calibri"/>
        <family val="2"/>
        <scheme val="minor"/>
      </rPr>
      <t>/s of Pre Q</t>
    </r>
  </si>
  <si>
    <t>Form 2B.1 - Retention Pond
Design Form</t>
  </si>
  <si>
    <t>The Master Plan shall include the following information:</t>
  </si>
  <si>
    <t>Property boundaries</t>
  </si>
  <si>
    <t>Conceptual lot layout by use type (i.e. residential, commercial, open space, etc.)</t>
  </si>
  <si>
    <t>Proposed roads</t>
  </si>
  <si>
    <t xml:space="preserve"> Master Plan</t>
  </si>
  <si>
    <t xml:space="preserve">Select Development Type: </t>
  </si>
  <si>
    <t xml:space="preserve"> Residential</t>
  </si>
  <si>
    <t xml:space="preserve">Number of Phases: </t>
  </si>
  <si>
    <t xml:space="preserve"> Final Plat</t>
  </si>
  <si>
    <t xml:space="preserve"> Commercial</t>
  </si>
  <si>
    <t xml:space="preserve">Number of Lots: </t>
  </si>
  <si>
    <t>Will all Phases or Lots be a member of the association?</t>
  </si>
  <si>
    <t xml:space="preserve"> ac</t>
  </si>
  <si>
    <t xml:space="preserve"> sq-ft</t>
  </si>
  <si>
    <t>Imp. Area</t>
  </si>
  <si>
    <t xml:space="preserve">   Discharges to Pond?</t>
  </si>
  <si>
    <t>%</t>
  </si>
  <si>
    <t xml:space="preserve">Total: </t>
  </si>
  <si>
    <t>Page 1 of 2</t>
  </si>
  <si>
    <t>Page 2 of 2</t>
  </si>
  <si>
    <t>Form 2B.2 - Retention Pond
Design Form Attachment</t>
  </si>
  <si>
    <t>By affixing my professional seal and signature on this form, I hereby certify that the proposed retention pond was designed</t>
  </si>
  <si>
    <t>to accommodate the Phases and/or Lots included in this attachment.</t>
  </si>
  <si>
    <t>Location of retention pond</t>
  </si>
  <si>
    <t>Slope</t>
  </si>
  <si>
    <t xml:space="preserve">Hydrologic Soil Group: </t>
  </si>
  <si>
    <t xml:space="preserve"> A</t>
  </si>
  <si>
    <t xml:space="preserve"> B</t>
  </si>
  <si>
    <t xml:space="preserve"> C</t>
  </si>
  <si>
    <t xml:space="preserve"> D</t>
  </si>
  <si>
    <r>
      <t>Peak Discharge (ft</t>
    </r>
    <r>
      <rPr>
        <vertAlign val="superscript"/>
        <sz val="8"/>
        <color theme="1"/>
        <rFont val="Calibri"/>
        <family val="2"/>
      </rPr>
      <t>3</t>
    </r>
    <r>
      <rPr>
        <sz val="10"/>
        <color theme="1"/>
        <rFont val="Calibri"/>
        <family val="2"/>
        <scheme val="minor"/>
      </rPr>
      <t>/s)</t>
    </r>
  </si>
  <si>
    <t>Is the retention pond located on a separate lot?</t>
  </si>
  <si>
    <t>Flooding</t>
  </si>
  <si>
    <t>Form 2B.2 - Retention Pond Design Form Attachment is attached?</t>
  </si>
  <si>
    <t>Design Questions</t>
  </si>
  <si>
    <t>Does the retention pond discharge into an existing storm sewer (i.e. pipe, concrete swale, etc.)?</t>
  </si>
  <si>
    <t>Will the retention pond be maintained by an association?</t>
  </si>
  <si>
    <t>Total</t>
  </si>
  <si>
    <t>Does the project drain to an area of known flooding?</t>
  </si>
  <si>
    <t xml:space="preserve">Does the project drain onto an adjacent property? </t>
  </si>
  <si>
    <t>Adj Property</t>
  </si>
  <si>
    <t xml:space="preserve">Design Form Date: </t>
  </si>
  <si>
    <t>Will future development phases discharge into the retention pond?  Complete Form 2B.2.</t>
  </si>
  <si>
    <t>31 December</t>
  </si>
  <si>
    <t>Caption, date, and/or description on all photographs?</t>
  </si>
  <si>
    <t>Storm sewer pipes discharging into retention pond</t>
  </si>
  <si>
    <t>As-Built does not match Design, provide a reason in the Comments section</t>
  </si>
  <si>
    <t>Caption identifying the date, location, and description of the photograph</t>
  </si>
  <si>
    <t>Photographs:</t>
  </si>
  <si>
    <t>All required photographs are not provided</t>
  </si>
  <si>
    <t>No. Storms:</t>
  </si>
  <si>
    <t>Known Flooding Req:</t>
  </si>
  <si>
    <t>T-shape</t>
  </si>
  <si>
    <t>Proposed</t>
  </si>
  <si>
    <t>Existing</t>
  </si>
  <si>
    <t>2.</t>
  </si>
  <si>
    <t>If a phase or lot has already been constructed, enter the amount of impervious area in the Existing Imp. Area column.</t>
  </si>
  <si>
    <t>Stage-Area-Storage Summary</t>
  </si>
  <si>
    <t>Discharge Summary</t>
  </si>
  <si>
    <t>Known Flooding Storm:</t>
  </si>
  <si>
    <t>Adj Property Req:</t>
  </si>
  <si>
    <t>Adj Property Storm:</t>
  </si>
  <si>
    <t>Property</t>
  </si>
  <si>
    <t>Req?</t>
  </si>
  <si>
    <t>Storm</t>
  </si>
  <si>
    <t>Q Lookup</t>
  </si>
  <si>
    <t>Pre Q Lookup Table</t>
  </si>
  <si>
    <t xml:space="preserve">Select Area Units: </t>
  </si>
  <si>
    <t xml:space="preserve">Existing Impervious Area (EIA): </t>
  </si>
  <si>
    <t xml:space="preserve">Total Area: </t>
  </si>
  <si>
    <t>ac</t>
  </si>
  <si>
    <t xml:space="preserve">EIA = </t>
  </si>
  <si>
    <t xml:space="preserve">PIA = </t>
  </si>
  <si>
    <t xml:space="preserve">AIA = </t>
  </si>
  <si>
    <t>ac or sq-ft selection</t>
  </si>
  <si>
    <t xml:space="preserve">Drainage Area </t>
  </si>
  <si>
    <t>OCS = Outlet Control Structure</t>
  </si>
  <si>
    <t>ES = Emergency Spillway</t>
  </si>
  <si>
    <t>OCS</t>
  </si>
  <si>
    <t>ES</t>
  </si>
  <si>
    <t>a 100-year, 24-hour storm event.  A minimum, freeboard of 1-foot above the maximum stage anticipated</t>
  </si>
  <si>
    <t xml:space="preserve">in the retention pond or above  the crest elevation of the emergency spillway; </t>
  </si>
  <si>
    <t>Lat Text</t>
  </si>
  <si>
    <t>Long Text</t>
  </si>
  <si>
    <t>Latitude and/or Longitude has been entered as text.  Change to a number.</t>
  </si>
  <si>
    <t>Outlet Control Structure (OCS)</t>
  </si>
  <si>
    <t>Emergency Spillway (ES)</t>
  </si>
  <si>
    <t xml:space="preserve">Parcel No.: </t>
  </si>
  <si>
    <t xml:space="preserve">network, existing drainage areas, proposed drainage areas, time of concentration, curve number, pre-development </t>
  </si>
  <si>
    <t xml:space="preserve">peak discharges, post-development peak discharges, outlet structure geometry, emergency spillway geometry, </t>
  </si>
  <si>
    <t>pond stage-area storage summary, pond discharge summary, inflow and outflow hydrographs, and outlet  velocities.</t>
  </si>
  <si>
    <t>Post-development discharges shall be less than pre-development discharges at all discharge locations.</t>
  </si>
  <si>
    <t>Provide the velocity at the end of any velocity dissipation device.</t>
  </si>
  <si>
    <t xml:space="preserve">H&amp;H calculations shall include all the information required to validate information provided on this form i.e. model </t>
  </si>
  <si>
    <t>Master Plan drawing shall include the following:</t>
  </si>
  <si>
    <t>Conceptual lot layout</t>
  </si>
  <si>
    <t>The boundary and designation of each phase and/or lot</t>
  </si>
  <si>
    <t>Contours with adequate contour labels</t>
  </si>
  <si>
    <t>Existing structures, roads, storm sewers, stormwater management facilities, etc.</t>
  </si>
  <si>
    <t>Supporting calculations for proposed and existing impervious areas</t>
  </si>
  <si>
    <t>OCS Velocity
(ft/s)</t>
  </si>
  <si>
    <t>ES Velocity
(ft/s)</t>
  </si>
  <si>
    <t>Parcel No. has not been provided</t>
  </si>
  <si>
    <t>Parcel No.:</t>
  </si>
  <si>
    <t xml:space="preserve">WQ Filter / snout: </t>
  </si>
  <si>
    <t>Are outfall pipes into retention pond above normal pool elevation?</t>
  </si>
  <si>
    <t>Spillage agreement</t>
  </si>
  <si>
    <t>Will not adversely impact and/or cause flooding of structures within, upstream, and/or downstream of the</t>
  </si>
  <si>
    <t>development;</t>
  </si>
  <si>
    <t>Automated Review Checks (continued)</t>
  </si>
  <si>
    <t>Page 5 of 5</t>
  </si>
  <si>
    <t>Page 4 of 5</t>
  </si>
  <si>
    <t>Page 3 of 5</t>
  </si>
  <si>
    <t>Page 2 of 5</t>
  </si>
  <si>
    <t>Page 1 of 5</t>
  </si>
  <si>
    <t>The as-built drawing shall bear the date, seal, and signature of the professional land surveyor.</t>
  </si>
  <si>
    <t>If a proposed development discharges onto an adjacent property, the proposed development shall:</t>
  </si>
  <si>
    <t>Agreement Type:</t>
  </si>
  <si>
    <t>Known Flooding Storm &lt;:</t>
  </si>
  <si>
    <t>Known or Adj Storm</t>
  </si>
  <si>
    <t>Requirements</t>
  </si>
  <si>
    <t>Question</t>
  </si>
  <si>
    <t>5, 10, 25, 50, and 100</t>
  </si>
  <si>
    <t>10, 25, 50, and 100</t>
  </si>
  <si>
    <t>25, 50, and 100</t>
  </si>
  <si>
    <t>50 and 100</t>
  </si>
  <si>
    <t>Adj Property Storm&lt;:</t>
  </si>
  <si>
    <t>Known or Adj Design Storm&lt;:</t>
  </si>
  <si>
    <t>Slope of the bottom of the detention pond  &lt; 2.00%</t>
  </si>
  <si>
    <t>Will the detention pond discharge to a channel?</t>
  </si>
  <si>
    <t>Will the detention pond discharge to an area of sheet flow?</t>
  </si>
  <si>
    <t>Will a level spreader be used?</t>
  </si>
  <si>
    <t>Design Storm</t>
  </si>
  <si>
    <t>Known or Adj Design Storm:</t>
  </si>
  <si>
    <t>Outlet Protection</t>
  </si>
  <si>
    <t>Riprap apron</t>
  </si>
  <si>
    <t>Concrete flume with baffles</t>
  </si>
  <si>
    <t>Concrete box with chambers</t>
  </si>
  <si>
    <t>Concrete box with baffles</t>
  </si>
  <si>
    <t>Pre-manufactured product</t>
  </si>
  <si>
    <t xml:space="preserve">Type: </t>
  </si>
  <si>
    <t xml:space="preserve">Depth: </t>
  </si>
  <si>
    <t xml:space="preserve">Geotextile: </t>
  </si>
  <si>
    <t>Outlet Protection:</t>
  </si>
  <si>
    <t>Outlet protection section not completed</t>
  </si>
  <si>
    <t>Pond Bottom Slope:</t>
  </si>
  <si>
    <t>Max Stage for 2, 5, 10, 25, and/or 50-year storm  &gt; emergency spillway crest elevation</t>
  </si>
  <si>
    <t>The intent of this form is to document the phases of development that will utilize the retention pond</t>
  </si>
  <si>
    <t>Retention pond outftall and outlet protection</t>
  </si>
  <si>
    <t>Outlet control structure and  WQv filter</t>
  </si>
  <si>
    <t>Workbook Lock Configuration</t>
  </si>
  <si>
    <t xml:space="preserve">Lock Date: </t>
  </si>
  <si>
    <t xml:space="preserve">Active Months: </t>
  </si>
  <si>
    <t xml:space="preserve">Override LockD and Time: </t>
  </si>
  <si>
    <t xml:space="preserve">Admin Unlock Code: </t>
  </si>
  <si>
    <t xml:space="preserve">Computed Lock Date and Time: </t>
  </si>
  <si>
    <t xml:space="preserve">Accepted Flag: </t>
  </si>
  <si>
    <t xml:space="preserve">Gate OK: </t>
  </si>
  <si>
    <t>Acceptance Table</t>
  </si>
  <si>
    <t>Selection Required</t>
  </si>
  <si>
    <t>I ACCEPT</t>
  </si>
  <si>
    <t>I DO NOT ACCEPT</t>
  </si>
  <si>
    <t>Baldwin County</t>
  </si>
  <si>
    <t xml:space="preserve">Effective Date: </t>
  </si>
  <si>
    <t xml:space="preserve">Acceptance (required): </t>
  </si>
  <si>
    <t xml:space="preserve">Expiration Date: </t>
  </si>
  <si>
    <t xml:space="preserve">IMPORTANT - READ BEFORE USE: </t>
  </si>
  <si>
    <t xml:space="preserve">Current Status: </t>
  </si>
  <si>
    <t xml:space="preserve">Administrator Code (Hidden): </t>
  </si>
  <si>
    <t>Entity:</t>
  </si>
  <si>
    <t>the City of Hoover</t>
  </si>
  <si>
    <t>Jefferson County</t>
  </si>
  <si>
    <t>the City of Mobile</t>
  </si>
  <si>
    <t>the City of Montgomery</t>
  </si>
  <si>
    <t>the City of Prattville</t>
  </si>
  <si>
    <t>Licensor grants the User a non-exclusive, non-transferable, non-sublicensable, revocable license to use the Tool soley to prepare</t>
  </si>
  <si>
    <t>submissions.  All other uses, including redistribution, public posting, training, or use for other agencies, are prohibited unless</t>
  </si>
  <si>
    <t>Ownership; No Work-for-Hire</t>
  </si>
  <si>
    <t>The Tool is licensed, not sold.  Licensor retains all right, title, and interest in and to the Tool, including all formulas, code,</t>
  </si>
  <si>
    <t>templates, and documentation.  The Tool is not a work made for hire and no implied licenses are granted.</t>
  </si>
  <si>
    <t>Restrictions</t>
  </si>
  <si>
    <t>Suspension and Termination</t>
  </si>
  <si>
    <t>Public Records Acknowledgment</t>
  </si>
  <si>
    <t>Disclaimers; Limitation of Liability</t>
  </si>
  <si>
    <t>Injunctive Relief</t>
  </si>
  <si>
    <t>Unathorized use, copying, or distribution of the Tool will cause irreparable harm for which monetary damages are inadequate;</t>
  </si>
  <si>
    <t>Licensor may seek injunctive relief in addition to other remedies.</t>
  </si>
  <si>
    <t>Acceptance</t>
  </si>
  <si>
    <t>bds958hc</t>
  </si>
  <si>
    <t xml:space="preserve">The User shall not and shall not permit others to: (a) copy, modify, decompile, or reverse-engineer the Tool; (b) remove proprietary </t>
  </si>
  <si>
    <t>Licensor may suspend immediately if the Tool is misused, compromised, or used in a manner creating security, legal, or reputational risk.</t>
  </si>
  <si>
    <t>special, consequential, or punitive damages.</t>
  </si>
  <si>
    <t>Phase ID</t>
  </si>
  <si>
    <t>-yr</t>
  </si>
  <si>
    <t>Level Spreader design documentation is attached.</t>
  </si>
  <si>
    <t>This form is for all phases associated with the BMP identified on the form</t>
  </si>
  <si>
    <t xml:space="preserve"> O&amp;M Plan</t>
  </si>
  <si>
    <t>Drainage Rights</t>
  </si>
  <si>
    <t>a Release Agreement</t>
  </si>
  <si>
    <t>a Spillage Agreement</t>
  </si>
  <si>
    <t>END USER LICENSE AGREEMENT (EULA)</t>
  </si>
  <si>
    <t>authorized, do not use the Tool.</t>
  </si>
  <si>
    <t>Limited License</t>
  </si>
  <si>
    <t>agreed in writing.</t>
  </si>
  <si>
    <t>notices, logos, or watermarks; (c) bypass or disable protections; or (d) redistribute the Tool to third parties (other than submitting filled</t>
  </si>
  <si>
    <t>the permitted purpose.</t>
  </si>
  <si>
    <t>Upon expiration/termination, User shall stop using the Tool, but may retain archive copies of completed submissions an records</t>
  </si>
  <si>
    <t>created during the Term.</t>
  </si>
  <si>
    <t>(including templates, code, logic) remains Licensor's proprietary material and is not a public record merely by being used to creat submittions.</t>
  </si>
  <si>
    <t>No Professional Services; User Responsibility</t>
  </si>
  <si>
    <t>regulations control.  User is solely responsible for the accuracy and completeness of all data and deliverables.</t>
  </si>
  <si>
    <r>
      <t>The Tool is provided "</t>
    </r>
    <r>
      <rPr>
        <b/>
        <sz val="12"/>
        <color theme="1"/>
        <rFont val="Calibri"/>
        <family val="2"/>
      </rPr>
      <t>AS IS</t>
    </r>
    <r>
      <rPr>
        <sz val="12"/>
        <color theme="1"/>
        <rFont val="Calibri"/>
        <family val="2"/>
        <scheme val="minor"/>
      </rPr>
      <t>".  Licensor disclaims all warranties, express or implied (including merchantability, fitness for a particular</t>
    </r>
  </si>
  <si>
    <t>purpose, and non-infringement.)  To the  Maximum extent permitted by law, Licensor will not be liable for indirect, incidental,</t>
  </si>
  <si>
    <t>Feedback</t>
  </si>
  <si>
    <t>Suggestions or feedback may be used by Licensor without restriction or obligation.</t>
  </si>
  <si>
    <t>Governing Law</t>
  </si>
  <si>
    <t>This License is governed by the laws of Alabama, without regard to conflicts principles.  The exclusive venue is the state or federal</t>
  </si>
  <si>
    <t>courts located in Lee County, Alabama.</t>
  </si>
  <si>
    <t>General</t>
  </si>
  <si>
    <t>This is the entire agreement regarding the Tool, and supersedes prior or contemporaneous terms.  If any provision is unenforceable,</t>
  </si>
  <si>
    <t>it will be limited or severed to the minimum extent necessary.  User may not assign this License without Licensor's consent;</t>
  </si>
  <si>
    <t>Licensor may assign in connection with a merger, acquisition, or sale of assets.  Lecensor may issue updated version of the</t>
  </si>
  <si>
    <t>Tool subject to updated terms, use of a new version constitutes acceptance of its terms.</t>
  </si>
  <si>
    <r>
      <t>By clicking "</t>
    </r>
    <r>
      <rPr>
        <b/>
        <sz val="12"/>
        <color theme="1"/>
        <rFont val="Calibri"/>
        <family val="2"/>
      </rPr>
      <t>I ACCEPT</t>
    </r>
    <r>
      <rPr>
        <sz val="12"/>
        <color theme="1"/>
        <rFont val="Calibri"/>
        <family val="2"/>
        <scheme val="minor"/>
      </rPr>
      <t>", you agree to this License on behalf of your organization.</t>
    </r>
  </si>
  <si>
    <r>
      <t>maintaining internal records for that submittal; and (b) you have authority to bind your organization ("</t>
    </r>
    <r>
      <rPr>
        <b/>
        <sz val="12"/>
        <color theme="1"/>
        <rFont val="Calibri"/>
        <family val="2"/>
      </rPr>
      <t>User</t>
    </r>
    <r>
      <rPr>
        <sz val="12"/>
        <color theme="1"/>
        <rFont val="Calibri"/>
        <family val="2"/>
        <scheme val="minor"/>
      </rPr>
      <t>").  If you are not</t>
    </r>
  </si>
  <si>
    <r>
      <t>This workbook and its embedded logic, validators, and scripts (collectively, the "</t>
    </r>
    <r>
      <rPr>
        <b/>
        <sz val="12"/>
        <color theme="1"/>
        <rFont val="Calibri"/>
        <family val="2"/>
      </rPr>
      <t>Tool</t>
    </r>
    <r>
      <rPr>
        <sz val="12"/>
        <color theme="1"/>
        <rFont val="Calibri"/>
        <family val="2"/>
        <scheme val="minor"/>
      </rPr>
      <t xml:space="preserve">") are proprietary to </t>
    </r>
    <r>
      <rPr>
        <b/>
        <sz val="12"/>
        <color theme="1"/>
        <rFont val="Calibri"/>
        <family val="2"/>
        <scheme val="minor"/>
      </rPr>
      <t>Hydro, LLC</t>
    </r>
    <r>
      <rPr>
        <sz val="12"/>
        <color theme="1"/>
        <rFont val="Calibri"/>
        <family val="2"/>
        <scheme val="minor"/>
      </rPr>
      <t xml:space="preserve"> ("</t>
    </r>
    <r>
      <rPr>
        <b/>
        <sz val="12"/>
        <color theme="1"/>
        <rFont val="Calibri"/>
        <family val="2"/>
        <scheme val="minor"/>
      </rPr>
      <t>Licensor</t>
    </r>
    <r>
      <rPr>
        <sz val="12"/>
        <color theme="1"/>
        <rFont val="Calibri"/>
        <family val="2"/>
        <scheme val="minor"/>
      </rPr>
      <t>").</t>
    </r>
  </si>
  <si>
    <r>
      <t>Pond In 
Q (ft</t>
    </r>
    <r>
      <rPr>
        <vertAlign val="superscript"/>
        <sz val="8"/>
        <color theme="1"/>
        <rFont val="Calibri"/>
        <family val="2"/>
      </rPr>
      <t>3</t>
    </r>
    <r>
      <rPr>
        <sz val="10"/>
        <color theme="1"/>
        <rFont val="Calibri"/>
        <family val="2"/>
        <scheme val="minor"/>
      </rPr>
      <t>/s)</t>
    </r>
  </si>
  <si>
    <r>
      <t>WQ</t>
    </r>
    <r>
      <rPr>
        <vertAlign val="subscript"/>
        <sz val="15"/>
        <color theme="1"/>
        <rFont val="Calibri"/>
        <family val="2"/>
      </rPr>
      <t>v</t>
    </r>
    <r>
      <rPr>
        <sz val="10"/>
        <color theme="1"/>
        <rFont val="Calibri"/>
        <family val="2"/>
        <scheme val="minor"/>
      </rPr>
      <t xml:space="preserve"> Elevation: </t>
    </r>
  </si>
  <si>
    <t>Is there an adequate easement or access road to the retention pond for inspection and maintenance?</t>
  </si>
  <si>
    <t>Have low impact development (LID) / green infrasturcture (GI) Practices been implemented?</t>
  </si>
  <si>
    <t>24-hour storm event without allowing any discharge from the emergency spillway;</t>
  </si>
  <si>
    <t>The principal outlet control structure for a retention pond shall be sized to convey the 2, 5, 10, 25, and 50-year,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</si>
</sst>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409]d\-mmm\-yy;@"/>
    <numFmt numFmtId="165" formatCode="0.000000"/>
    <numFmt numFmtId="166" formatCode="0."/>
    <numFmt numFmtId="167" formatCode="#,##0.000000"/>
    <numFmt numFmtId="168" formatCode="_(* #,##0_);_(* \(#,##0\);_(* &quot;-&quot;??_);_(@_)"/>
    <numFmt numFmtId="169" formatCode="[$-409]d\ mmmm\ yyyy;@"/>
    <numFmt numFmtId="170" formatCode="[$-409]dd\ mmmm\ yyyy;@"/>
    <numFmt numFmtId="171" formatCode="[&lt;=9999999]###\-####;\(###\)\ ###\-####"/>
    <numFmt numFmtId="172" formatCode="00000"/>
    <numFmt numFmtId="173" formatCode="\-0.000000"/>
    <numFmt numFmtId="174" formatCode="[$-409]mmmm\ d\,\ yyyy;@"/>
    <numFmt numFmtId="175" formatCode="\-#,##0.000000"/>
    <numFmt numFmtId="176" formatCode="#,##0.000"/>
    <numFmt numFmtId="177" formatCode="#,##0.0000"/>
    <numFmt numFmtId="178" formatCode="00\ 00\ 00\ 0\ 000\ 000.000"/>
    <numFmt numFmtId="179" formatCode="[$-409]dd\ mmmm\ yyyy\ h:mm\ AM/PM;@"/>
    <numFmt numFmtId="180" formatCode="0\)"/>
  </numFmts>
  <fonts count="29" x14ac:knownFonts="1">
    <font>
      <sz val="11"/>
      <color theme="1"/>
      <name val="Calibri"/>
      <family val="2"/>
      <scheme val="minor"/>
    </font>
    <font>
      <b/>
      <u/>
      <sz val="12"/>
      <color theme="1"/>
      <name val="Calibri"/>
      <family val="2"/>
      <scheme val="minor"/>
    </font>
    <font>
      <b/>
      <sz val="18"/>
      <color theme="1"/>
      <name val="Calibri"/>
      <family val="2"/>
      <scheme val="minor"/>
    </font>
    <font>
      <sz val="10"/>
      <color theme="1"/>
      <name val="Calibri"/>
      <family val="2"/>
      <scheme val="minor"/>
    </font>
    <font>
      <vertAlign val="subscript"/>
      <sz val="10"/>
      <color theme="1"/>
      <name val="Calibri"/>
      <family val="2"/>
    </font>
    <font>
      <b/>
      <sz val="10"/>
      <color theme="1"/>
      <name val="Calibri"/>
      <family val="2"/>
      <scheme val="minor"/>
    </font>
    <font>
      <vertAlign val="superscript"/>
      <sz val="8"/>
      <color theme="1"/>
      <name val="Calibri"/>
      <family val="2"/>
    </font>
    <font>
      <b/>
      <sz val="12"/>
      <color theme="1"/>
      <name val="Calibri"/>
      <family val="2"/>
      <scheme val="minor"/>
    </font>
    <font>
      <vertAlign val="subscript"/>
      <sz val="15"/>
      <color theme="1"/>
      <name val="Calibri"/>
      <family val="2"/>
    </font>
    <font>
      <u/>
      <sz val="11"/>
      <color theme="10"/>
      <name val="Calibri"/>
      <family val="2"/>
      <scheme val="minor"/>
    </font>
    <font>
      <b/>
      <u/>
      <sz val="10"/>
      <color theme="1"/>
      <name val="Calibri"/>
      <family val="2"/>
      <scheme val="minor"/>
    </font>
    <font>
      <vertAlign val="subscript"/>
      <sz val="11"/>
      <color theme="1"/>
      <name val="Calibri"/>
      <family val="2"/>
      <scheme val="minor"/>
    </font>
    <font>
      <b/>
      <u/>
      <sz val="16"/>
      <color theme="1"/>
      <name val="Calibri"/>
      <family val="2"/>
      <scheme val="minor"/>
    </font>
    <font>
      <sz val="12"/>
      <color theme="1"/>
      <name val="Calibri"/>
      <family val="2"/>
      <scheme val="minor"/>
    </font>
    <font>
      <u/>
      <sz val="12"/>
      <color theme="1"/>
      <name val="Calibri"/>
      <family val="2"/>
      <scheme val="minor"/>
    </font>
    <font>
      <sz val="11"/>
      <color theme="1"/>
      <name val="Calibri"/>
      <family val="2"/>
    </font>
    <font>
      <sz val="9"/>
      <color theme="1"/>
      <name val="Calibri"/>
      <family val="2"/>
      <scheme val="minor"/>
    </font>
    <font>
      <vertAlign val="superscript"/>
      <sz val="9"/>
      <color theme="1"/>
      <name val="Calibri"/>
      <family val="2"/>
    </font>
    <font>
      <vertAlign val="subscript"/>
      <sz val="10"/>
      <color theme="1"/>
      <name val="Calibri"/>
      <family val="2"/>
      <scheme val="minor"/>
    </font>
    <font>
      <sz val="14"/>
      <color theme="1"/>
      <name val="Calibri"/>
      <family val="2"/>
      <scheme val="minor"/>
    </font>
    <font>
      <sz val="11"/>
      <color theme="1"/>
      <name val="Calibri"/>
      <family val="2"/>
      <scheme val="minor"/>
    </font>
    <font>
      <vertAlign val="superscript"/>
      <sz val="10.8"/>
      <color theme="1"/>
      <name val="Calibri"/>
      <family val="2"/>
    </font>
    <font>
      <sz val="9"/>
      <color indexed="81"/>
      <name val="Tahoma"/>
      <family val="2"/>
    </font>
    <font>
      <b/>
      <sz val="9"/>
      <color indexed="81"/>
      <name val="Tahoma"/>
      <family val="2"/>
    </font>
    <font>
      <b/>
      <sz val="11"/>
      <color theme="1"/>
      <name val="Calibri"/>
      <family val="2"/>
      <scheme val="minor"/>
    </font>
    <font>
      <sz val="10"/>
      <color theme="1"/>
      <name val="Calibri"/>
      <family val="2"/>
    </font>
    <font>
      <u/>
      <sz val="10"/>
      <color theme="10"/>
      <name val="Calibri"/>
      <family val="2"/>
      <scheme val="minor"/>
    </font>
    <font>
      <b/>
      <sz val="11"/>
      <color theme="0"/>
      <name val="Calibri"/>
      <family val="2"/>
      <scheme val="minor"/>
    </font>
    <font>
      <b/>
      <sz val="12"/>
      <color theme="1"/>
      <name val="Calibri"/>
      <family val="2"/>
    </font>
  </fonts>
  <fills count="10">
    <fill>
      <patternFill patternType="none"/>
    </fill>
    <fill>
      <patternFill patternType="gray125"/>
    </fill>
    <fill>
      <patternFill patternType="solid">
        <fgColor theme="7" tint="0.59996337778862885"/>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rgb="FFFFFFCC"/>
        <bgColor indexed="64"/>
      </patternFill>
    </fill>
    <fill>
      <patternFill patternType="solid">
        <fgColor theme="4"/>
        <bgColor theme="4"/>
      </patternFill>
    </fill>
    <fill>
      <patternFill patternType="solid">
        <fgColor theme="7" tint="0.79998168889431442"/>
        <bgColor indexed="64"/>
      </patternFill>
    </fill>
  </fills>
  <borders count="2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ck">
        <color auto="1"/>
      </left>
      <right/>
      <top/>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style="hair">
        <color auto="1"/>
      </left>
      <right style="thin">
        <color theme="4" tint="0.39994506668294322"/>
      </right>
      <top style="hair">
        <color auto="1"/>
      </top>
      <bottom style="hair">
        <color auto="1"/>
      </bottom>
      <diagonal/>
    </border>
    <border>
      <left/>
      <right style="thin">
        <color theme="4" tint="0.39994506668294322"/>
      </right>
      <top/>
      <bottom/>
      <diagonal/>
    </border>
    <border>
      <left style="thin">
        <color theme="4" tint="0.39994506668294322"/>
      </left>
      <right/>
      <top/>
      <bottom style="thin">
        <color theme="4" tint="0.39994506668294322"/>
      </bottom>
      <diagonal/>
    </border>
    <border>
      <left/>
      <right style="thin">
        <color theme="4" tint="0.39994506668294322"/>
      </right>
      <top/>
      <bottom style="thin">
        <color theme="4" tint="0.39994506668294322"/>
      </bottom>
      <diagonal/>
    </border>
  </borders>
  <cellStyleXfs count="4">
    <xf numFmtId="0" fontId="0" fillId="0" borderId="0"/>
    <xf numFmtId="0" fontId="9" fillId="0" borderId="0" applyNumberFormat="0" applyFill="0" applyBorder="0" applyAlignment="0" applyProtection="0"/>
    <xf numFmtId="43" fontId="20" fillId="0" borderId="0" applyFont="0" applyFill="0" applyBorder="0" applyAlignment="0" applyProtection="0"/>
    <xf numFmtId="9" fontId="20" fillId="0" borderId="0" applyFont="0" applyFill="0" applyBorder="0" applyAlignment="0" applyProtection="0"/>
  </cellStyleXfs>
  <cellXfs count="270">
    <xf numFmtId="0" fontId="0" fillId="0" borderId="0" xfId="0"/>
    <xf numFmtId="0" fontId="1"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wrapText="1"/>
    </xf>
    <xf numFmtId="0" fontId="3" fillId="0" borderId="0" xfId="0" applyFont="1" applyAlignment="1">
      <alignment horizontal="center" vertical="center"/>
    </xf>
    <xf numFmtId="0" fontId="7" fillId="0" borderId="0" xfId="0" applyFont="1" applyAlignment="1">
      <alignment vertical="center"/>
    </xf>
    <xf numFmtId="4" fontId="3" fillId="0" borderId="0" xfId="0" applyNumberFormat="1" applyFont="1" applyAlignment="1" applyProtection="1">
      <alignment vertical="center"/>
      <protection hidden="1"/>
    </xf>
    <xf numFmtId="3" fontId="3" fillId="0" borderId="0" xfId="0" applyNumberFormat="1" applyFont="1" applyAlignment="1" applyProtection="1">
      <alignment vertical="center"/>
      <protection hidden="1"/>
    </xf>
    <xf numFmtId="0" fontId="3" fillId="0" borderId="0" xfId="0" applyFont="1" applyAlignment="1" applyProtection="1">
      <alignment vertical="center"/>
      <protection hidden="1"/>
    </xf>
    <xf numFmtId="0" fontId="3" fillId="4" borderId="0" xfId="0" applyFont="1" applyFill="1" applyAlignment="1">
      <alignment vertical="center"/>
    </xf>
    <xf numFmtId="0" fontId="3" fillId="4" borderId="0" xfId="0" applyFont="1" applyFill="1" applyAlignment="1">
      <alignment horizontal="right" vertical="center"/>
    </xf>
    <xf numFmtId="2" fontId="3" fillId="0" borderId="0" xfId="0" applyNumberFormat="1" applyFont="1" applyAlignment="1" applyProtection="1">
      <alignment horizontal="right" vertical="center"/>
      <protection hidden="1"/>
    </xf>
    <xf numFmtId="2" fontId="3" fillId="0" borderId="0" xfId="0" applyNumberFormat="1" applyFont="1" applyAlignment="1" applyProtection="1">
      <alignment vertical="center"/>
      <protection hidden="1"/>
    </xf>
    <xf numFmtId="0" fontId="3" fillId="0" borderId="0" xfId="0" applyFont="1" applyAlignment="1">
      <alignment horizontal="left" vertical="center"/>
    </xf>
    <xf numFmtId="0" fontId="3" fillId="6" borderId="0" xfId="0" applyFont="1" applyFill="1" applyAlignment="1">
      <alignment vertical="center"/>
    </xf>
    <xf numFmtId="0" fontId="3" fillId="0" borderId="13" xfId="0" applyFont="1" applyBorder="1" applyAlignment="1" applyProtection="1">
      <alignment horizontal="center" vertical="center"/>
      <protection locked="0"/>
    </xf>
    <xf numFmtId="0" fontId="3" fillId="6" borderId="0" xfId="0" applyFont="1" applyFill="1" applyAlignment="1">
      <alignment horizontal="center" vertical="center"/>
    </xf>
    <xf numFmtId="166" fontId="3"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wrapText="1"/>
    </xf>
    <xf numFmtId="166" fontId="0" fillId="0" borderId="0" xfId="0" applyNumberFormat="1" applyAlignment="1">
      <alignment horizontal="center" vertical="center"/>
    </xf>
    <xf numFmtId="0" fontId="0" fillId="0" borderId="0" xfId="0" applyAlignment="1">
      <alignment vertical="center"/>
    </xf>
    <xf numFmtId="0" fontId="3" fillId="0" borderId="0" xfId="0" applyFont="1" applyAlignment="1">
      <alignment vertical="center"/>
    </xf>
    <xf numFmtId="0" fontId="15" fillId="0" borderId="0" xfId="0" applyFont="1" applyAlignment="1">
      <alignment horizontal="center" vertical="center"/>
    </xf>
    <xf numFmtId="0" fontId="3" fillId="0" borderId="11" xfId="0" applyFont="1" applyBorder="1" applyAlignment="1">
      <alignment vertical="center"/>
    </xf>
    <xf numFmtId="2" fontId="3" fillId="0" borderId="0" xfId="0" applyNumberFormat="1" applyFont="1" applyAlignment="1">
      <alignment horizontal="right" vertical="center"/>
    </xf>
    <xf numFmtId="2" fontId="3" fillId="0" borderId="0" xfId="0" applyNumberFormat="1" applyFont="1" applyAlignment="1">
      <alignment vertical="center"/>
    </xf>
    <xf numFmtId="0" fontId="3" fillId="0" borderId="13" xfId="0" applyFont="1" applyBorder="1" applyAlignment="1">
      <alignment horizontal="center" vertical="center"/>
    </xf>
    <xf numFmtId="0" fontId="3" fillId="0" borderId="12" xfId="0" applyFont="1" applyBorder="1" applyAlignment="1">
      <alignment vertical="center"/>
    </xf>
    <xf numFmtId="0" fontId="3" fillId="0" borderId="0" xfId="0" applyFont="1" applyAlignment="1">
      <alignment horizontal="right"/>
    </xf>
    <xf numFmtId="0" fontId="10" fillId="0" borderId="0" xfId="0" applyFont="1" applyAlignment="1">
      <alignment vertical="center"/>
    </xf>
    <xf numFmtId="165" fontId="3" fillId="0" borderId="0" xfId="0" applyNumberFormat="1" applyFont="1" applyAlignment="1">
      <alignment vertical="center"/>
    </xf>
    <xf numFmtId="3" fontId="3" fillId="0" borderId="0" xfId="0" applyNumberFormat="1" applyFont="1" applyAlignment="1">
      <alignment vertical="center"/>
    </xf>
    <xf numFmtId="166" fontId="7" fillId="0" borderId="0" xfId="0" applyNumberFormat="1" applyFont="1" applyAlignment="1">
      <alignment horizontal="center" vertical="center"/>
    </xf>
    <xf numFmtId="4" fontId="3" fillId="0" borderId="0" xfId="0" applyNumberFormat="1" applyFont="1" applyAlignment="1">
      <alignment vertical="center"/>
    </xf>
    <xf numFmtId="0" fontId="3" fillId="0" borderId="0" xfId="0" applyFont="1" applyAlignment="1">
      <alignment horizontal="right" vertical="center" indent="1"/>
    </xf>
    <xf numFmtId="3" fontId="3" fillId="0" borderId="0" xfId="0" applyNumberFormat="1" applyFont="1" applyAlignment="1">
      <alignment horizontal="right" vertical="center"/>
    </xf>
    <xf numFmtId="0" fontId="9" fillId="0" borderId="0" xfId="1" applyBorder="1" applyAlignment="1" applyProtection="1">
      <alignment horizontal="left" vertical="center"/>
    </xf>
    <xf numFmtId="0" fontId="5" fillId="4" borderId="5"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10" fillId="4" borderId="0" xfId="0" applyFont="1" applyFill="1" applyAlignment="1">
      <alignment horizontal="right" vertical="center"/>
    </xf>
    <xf numFmtId="0" fontId="10" fillId="4" borderId="0" xfId="0" applyFont="1" applyFill="1" applyAlignment="1">
      <alignment vertical="center"/>
    </xf>
    <xf numFmtId="0" fontId="3" fillId="4" borderId="8" xfId="0" applyFont="1" applyFill="1" applyBorder="1" applyAlignment="1">
      <alignment vertical="center"/>
    </xf>
    <xf numFmtId="0" fontId="3" fillId="4" borderId="9" xfId="0"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applyAlignment="1">
      <alignment horizontal="right" vertical="center"/>
    </xf>
    <xf numFmtId="0" fontId="3" fillId="4" borderId="10" xfId="0" applyFont="1" applyFill="1" applyBorder="1" applyAlignment="1">
      <alignment vertical="center"/>
    </xf>
    <xf numFmtId="0" fontId="3" fillId="0" borderId="0" xfId="0" applyFont="1" applyAlignment="1">
      <alignment vertical="top" wrapText="1"/>
    </xf>
    <xf numFmtId="0" fontId="1" fillId="0" borderId="0" xfId="0" applyFont="1" applyAlignment="1">
      <alignment horizontal="left" vertical="center"/>
    </xf>
    <xf numFmtId="0" fontId="13" fillId="0" borderId="13" xfId="0" applyFont="1" applyBorder="1" applyAlignment="1" applyProtection="1">
      <alignment horizontal="center" vertical="center"/>
      <protection locked="0"/>
    </xf>
    <xf numFmtId="0" fontId="5" fillId="4" borderId="3" xfId="0" applyFont="1" applyFill="1" applyBorder="1" applyAlignment="1">
      <alignment vertical="center"/>
    </xf>
    <xf numFmtId="165" fontId="3" fillId="0" borderId="0" xfId="0" applyNumberFormat="1" applyFont="1" applyAlignment="1" applyProtection="1">
      <alignment vertical="center"/>
      <protection hidden="1"/>
    </xf>
    <xf numFmtId="0" fontId="1" fillId="0" borderId="12" xfId="0" applyFont="1" applyBorder="1" applyAlignment="1">
      <alignment vertical="center"/>
    </xf>
    <xf numFmtId="0" fontId="3" fillId="0" borderId="11" xfId="0" applyFont="1" applyBorder="1" applyAlignment="1">
      <alignment horizontal="right" vertical="center"/>
    </xf>
    <xf numFmtId="0" fontId="3" fillId="0" borderId="7" xfId="0" applyFont="1" applyBorder="1" applyAlignment="1">
      <alignment vertical="center"/>
    </xf>
    <xf numFmtId="0" fontId="3" fillId="0" borderId="3" xfId="0" applyFont="1" applyBorder="1" applyAlignment="1">
      <alignment vertical="center"/>
    </xf>
    <xf numFmtId="0" fontId="9" fillId="0" borderId="0" xfId="1" applyBorder="1" applyAlignment="1" applyProtection="1">
      <alignment vertical="center"/>
    </xf>
    <xf numFmtId="166" fontId="3" fillId="0" borderId="0" xfId="0" applyNumberFormat="1" applyFont="1" applyAlignment="1">
      <alignment vertical="center"/>
    </xf>
    <xf numFmtId="0" fontId="2" fillId="6" borderId="0" xfId="0" applyFont="1" applyFill="1" applyAlignment="1">
      <alignment vertical="center" wrapText="1"/>
    </xf>
    <xf numFmtId="0" fontId="2" fillId="0" borderId="0" xfId="0" applyFont="1" applyAlignment="1">
      <alignment vertical="center"/>
    </xf>
    <xf numFmtId="0" fontId="0" fillId="0" borderId="0" xfId="0" applyAlignment="1">
      <alignment horizontal="left" vertical="center"/>
    </xf>
    <xf numFmtId="0" fontId="3" fillId="6" borderId="0" xfId="0" applyFont="1" applyFill="1" applyAlignment="1">
      <alignment horizontal="right" vertical="center"/>
    </xf>
    <xf numFmtId="1" fontId="3" fillId="0" borderId="0" xfId="0" applyNumberFormat="1" applyFont="1" applyAlignment="1">
      <alignment vertical="center"/>
    </xf>
    <xf numFmtId="166" fontId="0" fillId="0" borderId="0" xfId="0" applyNumberFormat="1" applyAlignment="1">
      <alignment horizontal="left" vertical="center"/>
    </xf>
    <xf numFmtId="4" fontId="3" fillId="0" borderId="3" xfId="0" applyNumberFormat="1" applyFont="1" applyBorder="1" applyAlignment="1">
      <alignment horizontal="right" vertical="center"/>
    </xf>
    <xf numFmtId="4" fontId="3" fillId="0" borderId="0" xfId="0" applyNumberFormat="1" applyFont="1" applyAlignment="1">
      <alignment horizontal="right" vertical="center"/>
    </xf>
    <xf numFmtId="0" fontId="3" fillId="0" borderId="0" xfId="0" applyFont="1"/>
    <xf numFmtId="3" fontId="3" fillId="0" borderId="3" xfId="0" applyNumberFormat="1" applyFont="1" applyBorder="1" applyAlignment="1">
      <alignment horizontal="right" vertical="center"/>
    </xf>
    <xf numFmtId="0" fontId="3" fillId="0" borderId="0" xfId="0" applyFont="1" applyAlignment="1">
      <alignment horizontal="center" vertical="center" wrapText="1"/>
    </xf>
    <xf numFmtId="166" fontId="13" fillId="0" borderId="0" xfId="0" applyNumberFormat="1" applyFont="1" applyAlignment="1">
      <alignment horizontal="center" vertical="center"/>
    </xf>
    <xf numFmtId="0" fontId="13" fillId="0" borderId="0" xfId="0" applyFont="1" applyAlignment="1">
      <alignment vertical="center"/>
    </xf>
    <xf numFmtId="166" fontId="12" fillId="0" borderId="0" xfId="0" applyNumberFormat="1" applyFont="1" applyAlignment="1">
      <alignment vertical="center"/>
    </xf>
    <xf numFmtId="0" fontId="13" fillId="0" borderId="1" xfId="0" applyFont="1" applyBorder="1" applyAlignment="1">
      <alignment horizontal="center" vertical="center"/>
    </xf>
    <xf numFmtId="4" fontId="13" fillId="0" borderId="1" xfId="0" applyNumberFormat="1" applyFont="1" applyBorder="1" applyAlignment="1">
      <alignment vertical="center"/>
    </xf>
    <xf numFmtId="0" fontId="13" fillId="0" borderId="0" xfId="0" applyFont="1" applyAlignment="1">
      <alignment horizontal="left" vertical="center" wrapText="1"/>
    </xf>
    <xf numFmtId="0" fontId="13" fillId="0" borderId="0" xfId="0" applyFont="1" applyAlignment="1">
      <alignment vertical="center" wrapText="1"/>
    </xf>
    <xf numFmtId="0" fontId="14" fillId="2" borderId="1" xfId="0" applyFont="1" applyFill="1" applyBorder="1" applyAlignment="1">
      <alignment vertical="center"/>
    </xf>
    <xf numFmtId="0" fontId="13" fillId="5" borderId="1" xfId="0" applyFont="1" applyFill="1" applyBorder="1" applyAlignment="1">
      <alignment vertical="center"/>
    </xf>
    <xf numFmtId="0" fontId="7" fillId="0" borderId="0" xfId="0" applyFont="1" applyAlignment="1">
      <alignment horizontal="left" vertical="center"/>
    </xf>
    <xf numFmtId="0" fontId="3" fillId="0" borderId="1" xfId="0" applyFont="1" applyBorder="1" applyAlignment="1">
      <alignment vertical="center"/>
    </xf>
    <xf numFmtId="0" fontId="0" fillId="0" borderId="0" xfId="0" applyAlignment="1">
      <alignment horizontal="right" vertical="center"/>
    </xf>
    <xf numFmtId="0" fontId="0" fillId="0" borderId="0" xfId="0" applyAlignment="1">
      <alignment horizontal="center"/>
    </xf>
    <xf numFmtId="2" fontId="0" fillId="0" borderId="0" xfId="0" applyNumberFormat="1"/>
    <xf numFmtId="0" fontId="0" fillId="0" borderId="0" xfId="0" applyAlignment="1">
      <alignment horizontal="right"/>
    </xf>
    <xf numFmtId="0" fontId="3" fillId="0" borderId="0" xfId="0" applyFont="1" applyAlignment="1">
      <alignment vertical="top"/>
    </xf>
    <xf numFmtId="0" fontId="3" fillId="0" borderId="0" xfId="0" applyFont="1" applyAlignment="1">
      <alignment vertical="center" wrapText="1"/>
    </xf>
    <xf numFmtId="169" fontId="16" fillId="0" borderId="0" xfId="0" applyNumberFormat="1" applyFont="1" applyAlignment="1">
      <alignment horizontal="left" vertical="center"/>
    </xf>
    <xf numFmtId="0" fontId="3" fillId="6" borderId="13" xfId="0" applyFont="1" applyFill="1" applyBorder="1" applyAlignment="1">
      <alignment vertical="center"/>
    </xf>
    <xf numFmtId="2" fontId="3" fillId="6" borderId="13" xfId="0" applyNumberFormat="1" applyFont="1" applyFill="1" applyBorder="1" applyAlignment="1">
      <alignment vertical="center"/>
    </xf>
    <xf numFmtId="0" fontId="3" fillId="6" borderId="13" xfId="0" applyFont="1" applyFill="1" applyBorder="1" applyAlignment="1">
      <alignment horizontal="center" vertical="center"/>
    </xf>
    <xf numFmtId="0" fontId="24" fillId="0" borderId="0" xfId="0" applyFont="1"/>
    <xf numFmtId="0" fontId="7" fillId="6" borderId="0" xfId="0" applyFont="1" applyFill="1" applyAlignment="1">
      <alignment horizontal="center" vertical="center"/>
    </xf>
    <xf numFmtId="0" fontId="7" fillId="6" borderId="0" xfId="0" applyFont="1" applyFill="1" applyAlignment="1">
      <alignment horizontal="left" vertical="center"/>
    </xf>
    <xf numFmtId="0" fontId="7" fillId="6" borderId="0" xfId="0" applyFont="1" applyFill="1" applyAlignment="1">
      <alignment vertical="center"/>
    </xf>
    <xf numFmtId="2" fontId="3" fillId="6" borderId="13" xfId="0" applyNumberFormat="1" applyFont="1" applyFill="1" applyBorder="1" applyAlignment="1">
      <alignment horizontal="center" vertical="center"/>
    </xf>
    <xf numFmtId="1" fontId="3" fillId="6" borderId="13" xfId="0" applyNumberFormat="1" applyFont="1" applyFill="1" applyBorder="1" applyAlignment="1">
      <alignment horizontal="center" vertical="center"/>
    </xf>
    <xf numFmtId="3" fontId="3" fillId="6" borderId="13" xfId="0" applyNumberFormat="1" applyFont="1" applyFill="1" applyBorder="1" applyAlignment="1">
      <alignment horizontal="center" vertical="center"/>
    </xf>
    <xf numFmtId="0" fontId="3" fillId="6" borderId="3" xfId="0" applyFont="1" applyFill="1" applyBorder="1" applyAlignment="1">
      <alignment horizontal="center" vertical="center"/>
    </xf>
    <xf numFmtId="0" fontId="3" fillId="6" borderId="0" xfId="0" applyFont="1" applyFill="1" applyAlignment="1">
      <alignment horizontal="left" vertical="center"/>
    </xf>
    <xf numFmtId="0" fontId="3" fillId="6" borderId="1" xfId="0" applyFont="1" applyFill="1" applyBorder="1" applyAlignment="1">
      <alignment horizontal="center" vertical="center"/>
    </xf>
    <xf numFmtId="0" fontId="5" fillId="4" borderId="0" xfId="0" applyFont="1" applyFill="1" applyAlignment="1">
      <alignment horizontal="right" vertical="center"/>
    </xf>
    <xf numFmtId="0" fontId="25" fillId="0" borderId="0" xfId="0" applyFont="1" applyAlignment="1">
      <alignment horizontal="center" vertical="center"/>
    </xf>
    <xf numFmtId="0" fontId="3" fillId="0" borderId="3" xfId="0" applyFont="1" applyBorder="1" applyAlignment="1">
      <alignment horizontal="right" vertical="center"/>
    </xf>
    <xf numFmtId="166" fontId="3" fillId="0" borderId="0" xfId="0" applyNumberFormat="1" applyFont="1" applyAlignment="1">
      <alignment horizontal="left" vertical="center"/>
    </xf>
    <xf numFmtId="0" fontId="3" fillId="0" borderId="0" xfId="0" applyFont="1" applyAlignment="1">
      <alignment wrapText="1"/>
    </xf>
    <xf numFmtId="0" fontId="3" fillId="0" borderId="0" xfId="0" applyFont="1" applyAlignment="1">
      <alignment horizontal="left" wrapText="1"/>
    </xf>
    <xf numFmtId="0" fontId="0" fillId="0" borderId="0" xfId="0" applyAlignment="1">
      <alignment vertical="center" wrapText="1"/>
    </xf>
    <xf numFmtId="166" fontId="0" fillId="0" borderId="0" xfId="0" applyNumberFormat="1" applyAlignment="1">
      <alignment vertical="center"/>
    </xf>
    <xf numFmtId="0" fontId="19" fillId="0" borderId="0" xfId="0" applyFont="1" applyAlignment="1">
      <alignment horizontal="center" vertical="center"/>
    </xf>
    <xf numFmtId="0" fontId="3" fillId="0" borderId="8" xfId="0" applyFont="1" applyBorder="1" applyAlignment="1">
      <alignment vertical="center"/>
    </xf>
    <xf numFmtId="176" fontId="3" fillId="0" borderId="0" xfId="0" applyNumberFormat="1" applyFont="1" applyAlignment="1">
      <alignment horizontal="right" vertical="center"/>
    </xf>
    <xf numFmtId="0" fontId="13" fillId="0" borderId="0" xfId="0" applyFont="1" applyAlignment="1">
      <alignment horizontal="center" vertical="center"/>
    </xf>
    <xf numFmtId="0" fontId="3" fillId="6" borderId="15" xfId="0" applyFont="1" applyFill="1" applyBorder="1" applyAlignment="1">
      <alignment horizontal="center" vertical="center"/>
    </xf>
    <xf numFmtId="166" fontId="3" fillId="0" borderId="0" xfId="0" applyNumberFormat="1" applyFont="1" applyAlignment="1">
      <alignment horizontal="center" vertical="top"/>
    </xf>
    <xf numFmtId="172" fontId="3" fillId="0" borderId="0" xfId="0" applyNumberFormat="1" applyFont="1" applyAlignment="1">
      <alignment horizontal="center" vertical="center"/>
    </xf>
    <xf numFmtId="0" fontId="5" fillId="4" borderId="1" xfId="0" applyFont="1" applyFill="1" applyBorder="1" applyAlignment="1">
      <alignment horizontal="right" vertical="center"/>
    </xf>
    <xf numFmtId="0" fontId="3" fillId="4" borderId="1" xfId="0" applyFont="1" applyFill="1" applyBorder="1" applyAlignment="1">
      <alignment horizontal="left" vertical="center"/>
    </xf>
    <xf numFmtId="1" fontId="0" fillId="0" borderId="0" xfId="0" applyNumberFormat="1" applyAlignment="1">
      <alignment horizontal="center"/>
    </xf>
    <xf numFmtId="166" fontId="3" fillId="0" borderId="0" xfId="0" quotePrefix="1" applyNumberFormat="1" applyFont="1" applyAlignment="1">
      <alignment horizontal="center" vertical="center"/>
    </xf>
    <xf numFmtId="0" fontId="3" fillId="6" borderId="17"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7" xfId="0" applyFont="1" applyFill="1" applyBorder="1" applyAlignment="1">
      <alignment vertical="center"/>
    </xf>
    <xf numFmtId="4" fontId="3" fillId="6" borderId="8" xfId="0" applyNumberFormat="1" applyFont="1" applyFill="1" applyBorder="1" applyAlignment="1">
      <alignment vertical="center"/>
    </xf>
    <xf numFmtId="0" fontId="3" fillId="6" borderId="9" xfId="0" applyFont="1" applyFill="1" applyBorder="1" applyAlignment="1">
      <alignment vertical="center"/>
    </xf>
    <xf numFmtId="4" fontId="3" fillId="6" borderId="10" xfId="0" applyNumberFormat="1" applyFont="1" applyFill="1" applyBorder="1" applyAlignment="1">
      <alignment vertical="center"/>
    </xf>
    <xf numFmtId="0" fontId="5" fillId="3" borderId="3" xfId="0" applyFont="1" applyFill="1" applyBorder="1" applyAlignment="1">
      <alignment horizontal="right" vertical="center"/>
    </xf>
    <xf numFmtId="177" fontId="3" fillId="6" borderId="13" xfId="0" applyNumberFormat="1" applyFont="1" applyFill="1" applyBorder="1" applyAlignment="1">
      <alignment vertical="center"/>
    </xf>
    <xf numFmtId="1" fontId="3" fillId="0" borderId="3" xfId="0" applyNumberFormat="1" applyFont="1" applyBorder="1" applyAlignment="1">
      <alignment vertical="center"/>
    </xf>
    <xf numFmtId="2" fontId="3" fillId="6" borderId="0" xfId="0" applyNumberFormat="1" applyFont="1" applyFill="1" applyAlignment="1">
      <alignment horizontal="center" vertical="center"/>
    </xf>
    <xf numFmtId="0" fontId="16" fillId="0" borderId="0" xfId="0" applyFont="1" applyAlignment="1">
      <alignment vertical="center" wrapText="1"/>
    </xf>
    <xf numFmtId="0" fontId="5" fillId="0" borderId="0" xfId="0" applyFont="1" applyAlignment="1">
      <alignment vertical="center"/>
    </xf>
    <xf numFmtId="0" fontId="3" fillId="6" borderId="18" xfId="0" applyFont="1" applyFill="1" applyBorder="1" applyAlignment="1">
      <alignment horizontal="center" vertical="center"/>
    </xf>
    <xf numFmtId="169" fontId="0" fillId="7" borderId="14" xfId="0" applyNumberFormat="1" applyFill="1" applyBorder="1" applyAlignment="1">
      <alignment horizontal="center"/>
    </xf>
    <xf numFmtId="0" fontId="0" fillId="7" borderId="14" xfId="0" applyFill="1" applyBorder="1" applyAlignment="1">
      <alignment horizontal="center"/>
    </xf>
    <xf numFmtId="2" fontId="0" fillId="0" borderId="0" xfId="0" applyNumberFormat="1" applyAlignment="1">
      <alignment horizontal="center"/>
    </xf>
    <xf numFmtId="170" fontId="0" fillId="0" borderId="0" xfId="0" applyNumberFormat="1" applyAlignment="1">
      <alignment horizontal="center"/>
    </xf>
    <xf numFmtId="169" fontId="0" fillId="0" borderId="0" xfId="0" applyNumberFormat="1" applyAlignment="1">
      <alignment horizontal="center"/>
    </xf>
    <xf numFmtId="0" fontId="1" fillId="6" borderId="0" xfId="0" applyFont="1" applyFill="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0" fontId="0" fillId="0" borderId="0" xfId="0" quotePrefix="1" applyNumberFormat="1" applyAlignment="1">
      <alignment horizontal="center" vertical="center"/>
    </xf>
    <xf numFmtId="169" fontId="0" fillId="0" borderId="0" xfId="0" applyNumberFormat="1" applyAlignment="1">
      <alignment horizontal="center" vertical="center"/>
    </xf>
    <xf numFmtId="169" fontId="0" fillId="0" borderId="0" xfId="0" quotePrefix="1" applyNumberFormat="1" applyAlignment="1">
      <alignment horizontal="center" vertical="center"/>
    </xf>
    <xf numFmtId="1" fontId="0" fillId="0" borderId="0" xfId="0" applyNumberFormat="1" applyAlignment="1">
      <alignment horizontal="center" vertical="center"/>
    </xf>
    <xf numFmtId="1" fontId="3" fillId="6" borderId="0" xfId="0" applyNumberFormat="1" applyFont="1" applyFill="1" applyAlignment="1">
      <alignment vertical="center"/>
    </xf>
    <xf numFmtId="1" fontId="3" fillId="6" borderId="17" xfId="0" applyNumberFormat="1" applyFont="1" applyFill="1" applyBorder="1" applyAlignment="1">
      <alignment horizontal="center" vertical="center"/>
    </xf>
    <xf numFmtId="0" fontId="24" fillId="0" borderId="0" xfId="0" applyFont="1" applyAlignment="1">
      <alignment horizontal="right" vertical="center"/>
    </xf>
    <xf numFmtId="0" fontId="3" fillId="0" borderId="12" xfId="0" applyFont="1" applyBorder="1" applyAlignment="1">
      <alignment horizontal="right" vertical="center"/>
    </xf>
    <xf numFmtId="0" fontId="13" fillId="0" borderId="13" xfId="0" applyFont="1" applyBorder="1" applyAlignment="1">
      <alignment horizontal="center" vertical="center"/>
    </xf>
    <xf numFmtId="0" fontId="0" fillId="0" borderId="22" xfId="0" applyBorder="1" applyAlignment="1">
      <alignment horizontal="right" vertical="center"/>
    </xf>
    <xf numFmtId="179" fontId="0" fillId="0" borderId="23" xfId="0" applyNumberFormat="1" applyBorder="1" applyAlignment="1">
      <alignment horizontal="center"/>
    </xf>
    <xf numFmtId="0" fontId="0" fillId="0" borderId="24" xfId="0" applyBorder="1" applyAlignment="1">
      <alignment horizontal="right" vertical="center"/>
    </xf>
    <xf numFmtId="0" fontId="0" fillId="9" borderId="25" xfId="0" applyFill="1" applyBorder="1" applyAlignment="1">
      <alignment horizontal="center"/>
    </xf>
    <xf numFmtId="179" fontId="0" fillId="9" borderId="14" xfId="0" applyNumberFormat="1" applyFill="1" applyBorder="1" applyAlignment="1">
      <alignment horizontal="center"/>
    </xf>
    <xf numFmtId="179" fontId="0" fillId="0" borderId="26" xfId="0" applyNumberFormat="1" applyBorder="1" applyAlignment="1">
      <alignment horizontal="center"/>
    </xf>
    <xf numFmtId="0" fontId="0" fillId="0" borderId="26" xfId="0" applyBorder="1" applyAlignment="1">
      <alignment horizontal="center"/>
    </xf>
    <xf numFmtId="0" fontId="0" fillId="0" borderId="27" xfId="0" applyBorder="1" applyAlignment="1">
      <alignment horizontal="right" vertical="center"/>
    </xf>
    <xf numFmtId="0" fontId="0" fillId="0" borderId="28" xfId="0" applyBorder="1" applyAlignment="1">
      <alignment horizontal="center"/>
    </xf>
    <xf numFmtId="0" fontId="27" fillId="8" borderId="19" xfId="0" applyFont="1" applyFill="1" applyBorder="1" applyAlignment="1">
      <alignment horizontal="center" vertical="center"/>
    </xf>
    <xf numFmtId="0" fontId="7" fillId="0" borderId="0" xfId="0" applyFont="1" applyAlignment="1">
      <alignment horizontal="right" vertical="center"/>
    </xf>
    <xf numFmtId="0" fontId="13" fillId="6" borderId="0" xfId="0" applyFont="1" applyFill="1" applyAlignment="1">
      <alignment vertical="center"/>
    </xf>
    <xf numFmtId="0" fontId="13" fillId="6" borderId="13" xfId="0" applyFont="1" applyFill="1" applyBorder="1" applyAlignment="1">
      <alignment horizontal="center" vertical="center"/>
    </xf>
    <xf numFmtId="166" fontId="13" fillId="6" borderId="0" xfId="0" applyNumberFormat="1" applyFont="1" applyFill="1" applyAlignment="1">
      <alignment horizontal="center" vertical="center"/>
    </xf>
    <xf numFmtId="0" fontId="0" fillId="0" borderId="0" xfId="0" applyAlignment="1">
      <alignment horizontal="right" vertical="center" indent="1"/>
    </xf>
    <xf numFmtId="0" fontId="7" fillId="0" borderId="13" xfId="0" applyFont="1" applyBorder="1" applyAlignment="1" applyProtection="1">
      <alignment horizontal="center" vertical="center"/>
      <protection locked="0"/>
    </xf>
    <xf numFmtId="180" fontId="7" fillId="0" borderId="0" xfId="0" applyNumberFormat="1" applyFont="1" applyAlignment="1">
      <alignment horizontal="right" vertical="center"/>
    </xf>
    <xf numFmtId="180" fontId="7" fillId="0" borderId="0" xfId="0" applyNumberFormat="1" applyFont="1" applyAlignment="1">
      <alignment vertical="center"/>
    </xf>
    <xf numFmtId="0" fontId="13" fillId="0" borderId="0" xfId="0" applyFont="1" applyAlignment="1">
      <alignment horizontal="left" vertical="center" indent="1"/>
    </xf>
    <xf numFmtId="0" fontId="13" fillId="0" borderId="0" xfId="0" applyFont="1" applyAlignment="1">
      <alignment horizontal="left" vertical="center" indent="3"/>
    </xf>
    <xf numFmtId="0" fontId="7" fillId="6" borderId="0" xfId="0" applyFont="1" applyFill="1" applyAlignment="1">
      <alignment horizontal="right" vertical="center"/>
    </xf>
    <xf numFmtId="0" fontId="3" fillId="0" borderId="0" xfId="0" quotePrefix="1" applyFont="1" applyAlignment="1">
      <alignment vertical="center"/>
    </xf>
    <xf numFmtId="0" fontId="3" fillId="0" borderId="1" xfId="0" applyFont="1" applyBorder="1" applyAlignment="1" applyProtection="1">
      <alignment vertical="center"/>
      <protection locked="0"/>
    </xf>
    <xf numFmtId="0" fontId="27" fillId="8" borderId="20" xfId="0" applyFont="1" applyFill="1" applyBorder="1" applyAlignment="1">
      <alignment horizontal="center" vertical="center"/>
    </xf>
    <xf numFmtId="0" fontId="27" fillId="8" borderId="21" xfId="0" applyFont="1" applyFill="1" applyBorder="1" applyAlignment="1">
      <alignment horizontal="center" vertical="center"/>
    </xf>
    <xf numFmtId="170" fontId="13" fillId="0" borderId="0" xfId="0" applyNumberFormat="1" applyFont="1" applyAlignment="1">
      <alignment horizontal="left" vertical="center"/>
    </xf>
    <xf numFmtId="0" fontId="0" fillId="0" borderId="0" xfId="0"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top" wrapText="1"/>
    </xf>
    <xf numFmtId="0" fontId="3" fillId="6" borderId="16" xfId="0" applyFont="1" applyFill="1" applyBorder="1" applyAlignment="1">
      <alignment horizontal="center" vertical="center"/>
    </xf>
    <xf numFmtId="0" fontId="3" fillId="6" borderId="17" xfId="0" applyFont="1" applyFill="1" applyBorder="1" applyAlignment="1">
      <alignment horizontal="center" vertical="center"/>
    </xf>
    <xf numFmtId="3" fontId="3" fillId="0" borderId="2" xfId="0" applyNumberFormat="1" applyFont="1" applyBorder="1" applyAlignment="1" applyProtection="1">
      <alignment horizontal="right" vertical="center"/>
      <protection locked="0"/>
    </xf>
    <xf numFmtId="3" fontId="3" fillId="0" borderId="1" xfId="0" applyNumberFormat="1" applyFont="1" applyBorder="1" applyAlignment="1" applyProtection="1">
      <alignment horizontal="right" vertical="center"/>
      <protection locked="0"/>
    </xf>
    <xf numFmtId="0" fontId="3" fillId="0" borderId="0" xfId="0" applyFont="1" applyAlignment="1">
      <alignment horizontal="left" vertical="center"/>
    </xf>
    <xf numFmtId="4" fontId="3" fillId="0" borderId="2" xfId="0" applyNumberFormat="1" applyFont="1" applyBorder="1" applyAlignment="1" applyProtection="1">
      <alignment horizontal="right" vertical="center"/>
      <protection locked="0"/>
    </xf>
    <xf numFmtId="164" fontId="3" fillId="0" borderId="1" xfId="0" applyNumberFormat="1" applyFont="1" applyBorder="1" applyAlignment="1" applyProtection="1">
      <alignment horizontal="center" vertical="center"/>
      <protection hidden="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2" xfId="0" applyFont="1" applyBorder="1" applyAlignment="1" applyProtection="1">
      <alignment horizontal="center" vertical="center"/>
      <protection hidden="1"/>
    </xf>
    <xf numFmtId="4" fontId="3" fillId="0" borderId="1" xfId="0" applyNumberFormat="1" applyFont="1" applyBorder="1" applyAlignment="1" applyProtection="1">
      <alignment horizontal="right" vertical="center"/>
      <protection locked="0"/>
    </xf>
    <xf numFmtId="164" fontId="3" fillId="0" borderId="1" xfId="0" applyNumberFormat="1" applyFont="1" applyBorder="1" applyAlignment="1" applyProtection="1">
      <alignment horizontal="center" vertical="center"/>
      <protection locked="0"/>
    </xf>
    <xf numFmtId="0" fontId="3" fillId="0" borderId="5"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2" fontId="3" fillId="0" borderId="0" xfId="0" applyNumberFormat="1" applyFont="1" applyAlignment="1">
      <alignment horizontal="right" vertical="center"/>
    </xf>
    <xf numFmtId="169" fontId="16" fillId="0" borderId="0" xfId="0" applyNumberFormat="1" applyFont="1" applyAlignment="1">
      <alignment horizontal="left" vertical="center"/>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2" xfId="0" applyFont="1" applyBorder="1" applyAlignment="1" applyProtection="1">
      <alignment horizontal="center" vertical="center"/>
      <protection locked="0"/>
    </xf>
    <xf numFmtId="0" fontId="26" fillId="0" borderId="1" xfId="1" applyFont="1" applyBorder="1" applyAlignment="1" applyProtection="1">
      <alignment horizontal="left" vertical="center"/>
      <protection locked="0"/>
    </xf>
    <xf numFmtId="171" fontId="3" fillId="0" borderId="2" xfId="0" applyNumberFormat="1" applyFont="1" applyBorder="1" applyAlignment="1" applyProtection="1">
      <alignment horizontal="left" vertical="center"/>
      <protection locked="0"/>
    </xf>
    <xf numFmtId="2" fontId="3" fillId="0" borderId="1" xfId="0" applyNumberFormat="1" applyFont="1" applyBorder="1" applyAlignment="1" applyProtection="1">
      <alignment horizontal="right" vertical="center"/>
      <protection locked="0"/>
    </xf>
    <xf numFmtId="0" fontId="3" fillId="0" borderId="1" xfId="0" applyFont="1" applyBorder="1" applyAlignment="1" applyProtection="1">
      <alignment horizontal="left" vertical="center"/>
      <protection hidden="1"/>
    </xf>
    <xf numFmtId="2" fontId="3" fillId="0" borderId="2" xfId="0" applyNumberFormat="1" applyFont="1" applyBorder="1" applyAlignment="1" applyProtection="1">
      <alignment horizontal="right" vertical="center"/>
      <protection locked="0"/>
    </xf>
    <xf numFmtId="165" fontId="3" fillId="0" borderId="1" xfId="0" applyNumberFormat="1" applyFont="1" applyBorder="1" applyAlignment="1" applyProtection="1">
      <alignment horizontal="right" vertical="center"/>
      <protection locked="0"/>
    </xf>
    <xf numFmtId="173" fontId="3" fillId="0" borderId="1" xfId="0" applyNumberFormat="1" applyFont="1" applyBorder="1" applyAlignment="1" applyProtection="1">
      <alignment horizontal="right" vertical="center"/>
      <protection locked="0"/>
    </xf>
    <xf numFmtId="1" fontId="3" fillId="0" borderId="2" xfId="0" applyNumberFormat="1" applyFont="1" applyBorder="1" applyAlignment="1" applyProtection="1">
      <alignment horizontal="right" vertical="center"/>
      <protection locked="0"/>
    </xf>
    <xf numFmtId="0" fontId="3" fillId="0" borderId="0" xfId="0" applyFont="1" applyAlignment="1">
      <alignment horizontal="right" vertical="center"/>
    </xf>
    <xf numFmtId="1" fontId="3" fillId="0" borderId="1" xfId="0" applyNumberFormat="1"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4" fontId="3" fillId="0" borderId="1" xfId="0" quotePrefix="1" applyNumberFormat="1" applyFont="1" applyBorder="1" applyAlignment="1" applyProtection="1">
      <alignment horizontal="right" vertical="center"/>
      <protection locked="0"/>
    </xf>
    <xf numFmtId="4" fontId="3" fillId="0" borderId="4" xfId="0" applyNumberFormat="1" applyFont="1" applyBorder="1" applyAlignment="1" applyProtection="1">
      <alignment horizontal="right" vertical="center"/>
      <protection locked="0"/>
    </xf>
    <xf numFmtId="177" fontId="3" fillId="0" borderId="1" xfId="0" applyNumberFormat="1" applyFont="1" applyBorder="1" applyAlignment="1" applyProtection="1">
      <alignment horizontal="right" vertical="center"/>
      <protection hidden="1"/>
    </xf>
    <xf numFmtId="4" fontId="3" fillId="0" borderId="1" xfId="0" applyNumberFormat="1" applyFont="1" applyBorder="1" applyAlignment="1" applyProtection="1">
      <alignment horizontal="right" vertical="center"/>
      <protection hidden="1"/>
    </xf>
    <xf numFmtId="0" fontId="12" fillId="0" borderId="0" xfId="0" applyFont="1" applyAlignment="1">
      <alignment horizontal="left" vertical="center"/>
    </xf>
    <xf numFmtId="178" fontId="3" fillId="0" borderId="1" xfId="0" applyNumberFormat="1" applyFont="1" applyBorder="1" applyAlignment="1" applyProtection="1">
      <alignment horizontal="right" vertical="center"/>
      <protection locked="0"/>
    </xf>
    <xf numFmtId="3" fontId="3" fillId="0" borderId="2" xfId="0" applyNumberFormat="1" applyFont="1" applyBorder="1" applyAlignment="1" applyProtection="1">
      <alignment horizontal="right" vertical="center"/>
      <protection hidden="1"/>
    </xf>
    <xf numFmtId="0" fontId="2" fillId="0" borderId="0" xfId="0" applyFont="1" applyAlignment="1">
      <alignment horizontal="right" vertical="center" wrapText="1"/>
    </xf>
    <xf numFmtId="0" fontId="3" fillId="0" borderId="0" xfId="0" applyFont="1" applyAlignment="1" applyProtection="1">
      <alignment horizontal="right" vertical="center"/>
      <protection locked="0"/>
    </xf>
    <xf numFmtId="0" fontId="3" fillId="0" borderId="0" xfId="0" applyFont="1" applyAlignment="1">
      <alignment horizontal="center" vertical="center" textRotation="90" wrapText="1"/>
    </xf>
    <xf numFmtId="0" fontId="3" fillId="6" borderId="16" xfId="0" applyFont="1" applyFill="1" applyBorder="1" applyAlignment="1">
      <alignment horizontal="left" vertical="center"/>
    </xf>
    <xf numFmtId="0" fontId="3" fillId="6" borderId="17" xfId="0" applyFont="1" applyFill="1" applyBorder="1" applyAlignment="1">
      <alignment horizontal="left" vertical="center"/>
    </xf>
    <xf numFmtId="3" fontId="3" fillId="0" borderId="1" xfId="0" applyNumberFormat="1" applyFont="1" applyBorder="1" applyAlignment="1" applyProtection="1">
      <alignment horizontal="center" vertical="center"/>
      <protection locked="0"/>
    </xf>
    <xf numFmtId="176" fontId="3" fillId="0" borderId="1" xfId="0" applyNumberFormat="1" applyFont="1" applyBorder="1" applyAlignment="1" applyProtection="1">
      <alignment horizontal="right" vertical="center"/>
      <protection locked="0"/>
    </xf>
    <xf numFmtId="4" fontId="3" fillId="0" borderId="1" xfId="0" applyNumberFormat="1" applyFont="1" applyBorder="1" applyAlignment="1">
      <alignment horizontal="right" vertical="center"/>
    </xf>
    <xf numFmtId="2" fontId="3" fillId="0" borderId="1" xfId="3" applyNumberFormat="1" applyFont="1" applyBorder="1" applyAlignment="1" applyProtection="1">
      <alignment horizontal="right" vertical="center"/>
    </xf>
    <xf numFmtId="175" fontId="3" fillId="0" borderId="2" xfId="0" applyNumberFormat="1" applyFont="1" applyBorder="1" applyAlignment="1">
      <alignment vertical="center"/>
    </xf>
    <xf numFmtId="0" fontId="3" fillId="0" borderId="1" xfId="0" applyFont="1" applyBorder="1" applyAlignment="1">
      <alignment horizontal="left" vertical="center"/>
    </xf>
    <xf numFmtId="164" fontId="3" fillId="0" borderId="1" xfId="0" applyNumberFormat="1" applyFont="1" applyBorder="1" applyAlignment="1">
      <alignment horizontal="center" vertical="center"/>
    </xf>
    <xf numFmtId="0" fontId="3" fillId="0" borderId="2" xfId="0" applyFont="1" applyBorder="1" applyAlignment="1">
      <alignment horizontal="left" vertical="center"/>
    </xf>
    <xf numFmtId="167" fontId="3" fillId="0" borderId="1" xfId="0" applyNumberFormat="1" applyFont="1" applyBorder="1" applyAlignment="1">
      <alignment vertical="center"/>
    </xf>
    <xf numFmtId="0" fontId="3" fillId="0" borderId="1" xfId="0" applyFont="1" applyBorder="1" applyAlignment="1">
      <alignment horizontal="center" vertical="center"/>
    </xf>
    <xf numFmtId="2" fontId="3" fillId="0" borderId="2" xfId="3" applyNumberFormat="1" applyFont="1" applyBorder="1" applyAlignment="1">
      <alignment horizontal="right" vertical="center"/>
    </xf>
    <xf numFmtId="178" fontId="3" fillId="0" borderId="1" xfId="0" applyNumberFormat="1" applyFont="1" applyBorder="1" applyAlignment="1">
      <alignment horizontal="right" vertical="center"/>
    </xf>
    <xf numFmtId="171" fontId="3" fillId="0" borderId="2" xfId="0" applyNumberFormat="1" applyFont="1" applyBorder="1" applyAlignment="1" applyProtection="1">
      <alignment horizontal="center" vertical="center"/>
      <protection locked="0"/>
    </xf>
    <xf numFmtId="0" fontId="16" fillId="0" borderId="0" xfId="0" applyFont="1" applyAlignment="1">
      <alignment horizontal="center" vertical="center" wrapText="1"/>
    </xf>
    <xf numFmtId="4" fontId="3" fillId="0" borderId="2" xfId="0" applyNumberFormat="1" applyFont="1" applyBorder="1" applyAlignment="1">
      <alignment horizontal="right" vertical="center"/>
    </xf>
    <xf numFmtId="4" fontId="3" fillId="0" borderId="2" xfId="0" applyNumberFormat="1" applyFont="1" applyBorder="1" applyAlignment="1" applyProtection="1">
      <alignment horizontal="right" vertical="center"/>
      <protection hidden="1"/>
    </xf>
    <xf numFmtId="0" fontId="7" fillId="4" borderId="0" xfId="0" applyFont="1" applyFill="1" applyAlignment="1">
      <alignment horizontal="left" vertical="center"/>
    </xf>
    <xf numFmtId="2" fontId="3" fillId="0" borderId="2" xfId="0" applyNumberFormat="1" applyFont="1" applyBorder="1" applyAlignment="1">
      <alignment horizontal="right" vertical="center"/>
    </xf>
    <xf numFmtId="3" fontId="3" fillId="0" borderId="2" xfId="0" applyNumberFormat="1" applyFont="1" applyBorder="1" applyAlignment="1">
      <alignment horizontal="right" vertical="center"/>
    </xf>
    <xf numFmtId="2" fontId="3" fillId="0" borderId="2" xfId="0" applyNumberFormat="1" applyFont="1" applyBorder="1" applyAlignment="1" applyProtection="1">
      <alignment horizontal="right" vertical="center"/>
      <protection hidden="1"/>
    </xf>
    <xf numFmtId="2" fontId="3" fillId="0" borderId="1" xfId="0" applyNumberFormat="1" applyFont="1" applyBorder="1" applyAlignment="1" applyProtection="1">
      <alignment horizontal="right" vertical="center"/>
      <protection hidden="1"/>
    </xf>
    <xf numFmtId="0" fontId="7" fillId="3" borderId="0" xfId="0" applyFont="1" applyFill="1" applyAlignment="1">
      <alignment vertical="center"/>
    </xf>
    <xf numFmtId="3" fontId="3" fillId="0" borderId="1" xfId="0" applyNumberFormat="1" applyFont="1" applyBorder="1" applyAlignment="1">
      <alignment horizontal="right" vertical="center"/>
    </xf>
    <xf numFmtId="174" fontId="3" fillId="0" borderId="1" xfId="0" applyNumberFormat="1" applyFont="1" applyBorder="1" applyAlignment="1" applyProtection="1">
      <alignment horizontal="center" vertical="center"/>
      <protection locked="0"/>
    </xf>
    <xf numFmtId="164" fontId="3" fillId="0" borderId="2" xfId="0" applyNumberFormat="1" applyFont="1" applyBorder="1" applyAlignment="1" applyProtection="1">
      <alignment horizontal="center" vertical="center"/>
      <protection hidden="1"/>
    </xf>
    <xf numFmtId="2" fontId="3" fillId="0" borderId="1" xfId="0" applyNumberFormat="1" applyFont="1" applyBorder="1" applyAlignment="1">
      <alignment horizontal="right" vertical="center"/>
    </xf>
    <xf numFmtId="0" fontId="3" fillId="0" borderId="0" xfId="0" applyFont="1" applyAlignment="1">
      <alignment horizontal="left" vertical="top" wrapText="1"/>
    </xf>
    <xf numFmtId="172" fontId="3" fillId="0" borderId="1" xfId="0" applyNumberFormat="1" applyFont="1" applyBorder="1" applyAlignment="1" applyProtection="1">
      <alignment horizontal="left" vertical="center"/>
      <protection locked="0"/>
    </xf>
    <xf numFmtId="172" fontId="3" fillId="0" borderId="1" xfId="0" applyNumberFormat="1" applyFont="1" applyBorder="1" applyAlignment="1" applyProtection="1">
      <alignment horizontal="center" vertical="center"/>
      <protection locked="0"/>
    </xf>
    <xf numFmtId="171" fontId="3" fillId="0" borderId="1" xfId="0" applyNumberFormat="1" applyFont="1" applyBorder="1" applyAlignment="1" applyProtection="1">
      <alignment horizontal="center" vertical="center"/>
      <protection locked="0"/>
    </xf>
    <xf numFmtId="0" fontId="3" fillId="0" borderId="2" xfId="0" applyFont="1" applyBorder="1" applyAlignment="1" applyProtection="1">
      <alignment horizontal="left" vertical="center"/>
      <protection hidden="1"/>
    </xf>
    <xf numFmtId="165" fontId="3" fillId="0" borderId="1" xfId="0" applyNumberFormat="1" applyFont="1" applyBorder="1" applyAlignment="1" applyProtection="1">
      <alignment horizontal="right" vertical="center"/>
      <protection hidden="1"/>
    </xf>
    <xf numFmtId="165" fontId="3" fillId="0" borderId="2" xfId="0" applyNumberFormat="1" applyFont="1" applyBorder="1" applyAlignment="1" applyProtection="1">
      <alignment horizontal="right" vertical="center"/>
      <protection hidden="1"/>
    </xf>
    <xf numFmtId="173" fontId="3" fillId="0" borderId="2" xfId="0" applyNumberFormat="1" applyFont="1" applyBorder="1" applyAlignment="1" applyProtection="1">
      <alignment horizontal="right" vertical="center"/>
      <protection locked="0"/>
    </xf>
    <xf numFmtId="168" fontId="3" fillId="0" borderId="1" xfId="2" applyNumberFormat="1" applyFont="1" applyBorder="1" applyAlignment="1" applyProtection="1">
      <alignment horizontal="right" vertical="center"/>
      <protection locked="0"/>
    </xf>
    <xf numFmtId="168" fontId="3" fillId="0" borderId="2" xfId="2" applyNumberFormat="1" applyFont="1" applyBorder="1" applyAlignment="1" applyProtection="1">
      <alignment horizontal="right" vertical="center"/>
      <protection locked="0"/>
    </xf>
    <xf numFmtId="0" fontId="7" fillId="3" borderId="0" xfId="0" applyFont="1" applyFill="1" applyAlignment="1">
      <alignment horizontal="left" vertical="center"/>
    </xf>
    <xf numFmtId="3" fontId="3" fillId="0" borderId="1" xfId="0" applyNumberFormat="1" applyFont="1" applyBorder="1" applyAlignment="1" applyProtection="1">
      <alignment horizontal="right" vertical="center"/>
      <protection hidden="1"/>
    </xf>
    <xf numFmtId="0" fontId="9" fillId="0" borderId="2" xfId="1" applyBorder="1" applyAlignment="1" applyProtection="1">
      <alignment horizontal="left" vertical="center"/>
      <protection locked="0"/>
    </xf>
    <xf numFmtId="164" fontId="3" fillId="3" borderId="2" xfId="0" applyNumberFormat="1" applyFont="1" applyFill="1" applyBorder="1" applyAlignment="1">
      <alignment horizontal="left" vertical="center"/>
    </xf>
  </cellXfs>
  <cellStyles count="4">
    <cellStyle name="Comma" xfId="2" builtinId="3"/>
    <cellStyle name="Hyperlink" xfId="1" builtinId="8"/>
    <cellStyle name="Normal" xfId="0" builtinId="0"/>
    <cellStyle name="Percent" xfId="3" builtinId="5"/>
  </cellStyles>
  <dxfs count="388">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numFmt numFmtId="3" formatCode="#,##0"/>
    </dxf>
    <dxf>
      <numFmt numFmtId="181" formatCode="0.0000"/>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81" formatCode="0.0000"/>
    </dxf>
    <dxf>
      <fill>
        <patternFill>
          <bgColor theme="5"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81" formatCode="0.0000"/>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77" formatCode="#,##0.0000"/>
    </dxf>
    <dxf>
      <fill>
        <patternFill>
          <bgColor theme="7" tint="0.59996337778862885"/>
        </patternFill>
      </fill>
    </dxf>
    <dxf>
      <fill>
        <patternFill>
          <bgColor theme="7" tint="0.59996337778862885"/>
        </patternFill>
      </fill>
    </dxf>
    <dxf>
      <numFmt numFmtId="181" formatCode="0.0000"/>
    </dxf>
    <dxf>
      <numFmt numFmtId="3" formatCode="#,##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5"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numFmt numFmtId="3" formatCode="#,##0"/>
    </dxf>
    <dxf>
      <numFmt numFmtId="177" formatCode="#,##0.0000"/>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5" tint="0.59996337778862885"/>
        </patternFill>
      </fill>
    </dxf>
    <dxf>
      <numFmt numFmtId="177" formatCode="#,##0.0000"/>
    </dxf>
    <dxf>
      <fill>
        <patternFill>
          <bgColor theme="5" tint="0.59996337778862885"/>
        </patternFill>
      </fill>
    </dxf>
    <dxf>
      <numFmt numFmtId="3" formatCode="#,##0"/>
    </dxf>
    <dxf>
      <fill>
        <patternFill>
          <bgColor theme="9" tint="0.59996337778862885"/>
        </patternFill>
      </fill>
    </dxf>
    <dxf>
      <numFmt numFmtId="3" formatCode="#,##0"/>
    </dxf>
    <dxf>
      <numFmt numFmtId="181" formatCode="0.0000"/>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numFmt numFmtId="181" formatCode="0.0000"/>
    </dxf>
    <dxf>
      <numFmt numFmtId="3" formatCode="#,##0"/>
    </dxf>
    <dxf>
      <fill>
        <patternFill>
          <bgColor theme="9" tint="0.59996337778862885"/>
        </patternFill>
      </fill>
    </dxf>
    <dxf>
      <fill>
        <patternFill>
          <bgColor theme="9" tint="0.59996337778862885"/>
        </patternFill>
      </fill>
    </dxf>
    <dxf>
      <numFmt numFmtId="3" formatCode="#,##0"/>
    </dxf>
    <dxf>
      <numFmt numFmtId="177" formatCode="#,##0.0000"/>
    </dxf>
    <dxf>
      <fill>
        <patternFill>
          <bgColor theme="9" tint="0.59996337778862885"/>
        </patternFill>
      </fill>
    </dxf>
    <dxf>
      <numFmt numFmtId="177" formatCode="#,##0.0000"/>
    </dxf>
    <dxf>
      <numFmt numFmtId="3" formatCode="#,##0"/>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5" tint="0.59996337778862885"/>
        </patternFill>
      </fill>
    </dxf>
    <dxf>
      <numFmt numFmtId="177" formatCode="#,##0.0000"/>
    </dxf>
    <dxf>
      <numFmt numFmtId="3" formatCode="#,##0"/>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numFmt numFmtId="181" formatCode="0.0000"/>
    </dxf>
    <dxf>
      <numFmt numFmtId="3" formatCode="#,##0"/>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b/>
        <i val="0"/>
        <color theme="0"/>
      </font>
    </dxf>
    <dxf>
      <fill>
        <patternFill>
          <bgColor theme="9" tint="0.59996337778862885"/>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right"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7</xdr:col>
      <xdr:colOff>130615</xdr:colOff>
      <xdr:row>44</xdr:row>
      <xdr:rowOff>30979</xdr:rowOff>
    </xdr:from>
    <xdr:to>
      <xdr:col>7</xdr:col>
      <xdr:colOff>988500</xdr:colOff>
      <xdr:row>44</xdr:row>
      <xdr:rowOff>760790</xdr:rowOff>
    </xdr:to>
    <xdr:pic>
      <xdr:nvPicPr>
        <xdr:cNvPr id="14" name="Picture 13">
          <a:extLst>
            <a:ext uri="{FF2B5EF4-FFF2-40B4-BE49-F238E27FC236}">
              <a16:creationId xmlns:a16="http://schemas.microsoft.com/office/drawing/2014/main" id="{C7F67865-5892-4100-9292-454116CC24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498655" y="9334999"/>
          <a:ext cx="857885" cy="729811"/>
        </a:xfrm>
        <a:prstGeom prst="rect">
          <a:avLst/>
        </a:prstGeom>
        <a:noFill/>
        <a:ln>
          <a:noFill/>
        </a:ln>
      </xdr:spPr>
    </xdr:pic>
    <xdr:clientData/>
  </xdr:twoCellAnchor>
  <xdr:twoCellAnchor editAs="oneCell">
    <xdr:from>
      <xdr:col>5</xdr:col>
      <xdr:colOff>140620</xdr:colOff>
      <xdr:row>43</xdr:row>
      <xdr:rowOff>73991</xdr:rowOff>
    </xdr:from>
    <xdr:to>
      <xdr:col>5</xdr:col>
      <xdr:colOff>933099</xdr:colOff>
      <xdr:row>43</xdr:row>
      <xdr:rowOff>780746</xdr:rowOff>
    </xdr:to>
    <xdr:pic>
      <xdr:nvPicPr>
        <xdr:cNvPr id="15" name="Picture 14">
          <a:extLst>
            <a:ext uri="{FF2B5EF4-FFF2-40B4-BE49-F238E27FC236}">
              <a16:creationId xmlns:a16="http://schemas.microsoft.com/office/drawing/2014/main" id="{3A697349-07D3-4FCF-872F-12CA17102F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074695" y="10456241"/>
          <a:ext cx="800099" cy="714375"/>
        </a:xfrm>
        <a:prstGeom prst="rect">
          <a:avLst/>
        </a:prstGeom>
        <a:noFill/>
        <a:ln>
          <a:noFill/>
        </a:ln>
      </xdr:spPr>
    </xdr:pic>
    <xdr:clientData/>
  </xdr:twoCellAnchor>
  <xdr:twoCellAnchor editAs="oneCell">
    <xdr:from>
      <xdr:col>5</xdr:col>
      <xdr:colOff>172227</xdr:colOff>
      <xdr:row>40</xdr:row>
      <xdr:rowOff>45569</xdr:rowOff>
    </xdr:from>
    <xdr:to>
      <xdr:col>5</xdr:col>
      <xdr:colOff>896127</xdr:colOff>
      <xdr:row>40</xdr:row>
      <xdr:rowOff>781867</xdr:rowOff>
    </xdr:to>
    <xdr:pic>
      <xdr:nvPicPr>
        <xdr:cNvPr id="16" name="Picture 15">
          <a:extLst>
            <a:ext uri="{FF2B5EF4-FFF2-40B4-BE49-F238E27FC236}">
              <a16:creationId xmlns:a16="http://schemas.microsoft.com/office/drawing/2014/main" id="{DDC491A1-2C83-4368-9B90-DDF245DE852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06302" y="7970369"/>
          <a:ext cx="723900" cy="728678"/>
        </a:xfrm>
        <a:prstGeom prst="rect">
          <a:avLst/>
        </a:prstGeom>
        <a:ln>
          <a:noFill/>
        </a:ln>
      </xdr:spPr>
    </xdr:pic>
    <xdr:clientData/>
  </xdr:twoCellAnchor>
  <xdr:twoCellAnchor editAs="oneCell">
    <xdr:from>
      <xdr:col>5</xdr:col>
      <xdr:colOff>130323</xdr:colOff>
      <xdr:row>42</xdr:row>
      <xdr:rowOff>63308</xdr:rowOff>
    </xdr:from>
    <xdr:to>
      <xdr:col>5</xdr:col>
      <xdr:colOff>970126</xdr:colOff>
      <xdr:row>42</xdr:row>
      <xdr:rowOff>777683</xdr:rowOff>
    </xdr:to>
    <xdr:pic>
      <xdr:nvPicPr>
        <xdr:cNvPr id="17" name="Picture 16">
          <a:extLst>
            <a:ext uri="{FF2B5EF4-FFF2-40B4-BE49-F238E27FC236}">
              <a16:creationId xmlns:a16="http://schemas.microsoft.com/office/drawing/2014/main" id="{10FBDD41-132C-4F91-BF77-143A748FA9C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6064398" y="9626408"/>
          <a:ext cx="851233" cy="714375"/>
        </a:xfrm>
        <a:prstGeom prst="rect">
          <a:avLst/>
        </a:prstGeom>
        <a:noFill/>
        <a:ln>
          <a:noFill/>
        </a:ln>
      </xdr:spPr>
    </xdr:pic>
    <xdr:clientData/>
  </xdr:twoCellAnchor>
  <xdr:twoCellAnchor editAs="oneCell">
    <xdr:from>
      <xdr:col>5</xdr:col>
      <xdr:colOff>178559</xdr:colOff>
      <xdr:row>41</xdr:row>
      <xdr:rowOff>44136</xdr:rowOff>
    </xdr:from>
    <xdr:to>
      <xdr:col>5</xdr:col>
      <xdr:colOff>897248</xdr:colOff>
      <xdr:row>41</xdr:row>
      <xdr:rowOff>781371</xdr:rowOff>
    </xdr:to>
    <xdr:pic>
      <xdr:nvPicPr>
        <xdr:cNvPr id="18" name="Picture 17" descr="Logo&#10;&#10;Description automatically generated">
          <a:extLst>
            <a:ext uri="{FF2B5EF4-FFF2-40B4-BE49-F238E27FC236}">
              <a16:creationId xmlns:a16="http://schemas.microsoft.com/office/drawing/2014/main" id="{9C5F8A1B-AB7B-498D-85B7-56BA44049F1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12634" y="8788086"/>
          <a:ext cx="711069" cy="72961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7</xdr:col>
          <xdr:colOff>0</xdr:colOff>
          <xdr:row>39</xdr:row>
          <xdr:rowOff>19050</xdr:rowOff>
        </xdr:from>
        <xdr:to>
          <xdr:col>7</xdr:col>
          <xdr:colOff>1428750</xdr:colOff>
          <xdr:row>40</xdr:row>
          <xdr:rowOff>15240</xdr:rowOff>
        </xdr:to>
        <xdr:pic>
          <xdr:nvPicPr>
            <xdr:cNvPr id="20" name="Picture 19">
              <a:extLst>
                <a:ext uri="{FF2B5EF4-FFF2-40B4-BE49-F238E27FC236}">
                  <a16:creationId xmlns:a16="http://schemas.microsoft.com/office/drawing/2014/main" id="{AB14D78F-A308-F074-E42E-CA63C272EE02}"/>
                </a:ext>
              </a:extLst>
            </xdr:cNvPr>
            <xdr:cNvPicPr>
              <a:picLocks noChangeAspect="1" noChangeArrowheads="1"/>
              <a:extLst>
                <a:ext uri="{84589F7E-364E-4C9E-8A38-B11213B215E9}">
                  <a14:cameraTool cellRange="Logo" spid="_x0000_s2029"/>
                </a:ext>
              </a:extLst>
            </xdr:cNvPicPr>
          </xdr:nvPicPr>
          <xdr:blipFill>
            <a:blip xmlns:r="http://schemas.openxmlformats.org/officeDocument/2006/relationships" r:embed="rId6"/>
            <a:srcRect/>
            <a:stretch>
              <a:fillRect/>
            </a:stretch>
          </xdr:blipFill>
          <xdr:spPr bwMode="auto">
            <a:xfrm>
              <a:off x="7677150" y="712470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5</xdr:col>
      <xdr:colOff>60960</xdr:colOff>
      <xdr:row>44</xdr:row>
      <xdr:rowOff>152400</xdr:rowOff>
    </xdr:from>
    <xdr:to>
      <xdr:col>6</xdr:col>
      <xdr:colOff>676</xdr:colOff>
      <xdr:row>44</xdr:row>
      <xdr:rowOff>648268</xdr:rowOff>
    </xdr:to>
    <xdr:pic>
      <xdr:nvPicPr>
        <xdr:cNvPr id="2" name="Picture 1">
          <a:extLst>
            <a:ext uri="{FF2B5EF4-FFF2-40B4-BE49-F238E27FC236}">
              <a16:creationId xmlns:a16="http://schemas.microsoft.com/office/drawing/2014/main" id="{ECAF3DCD-53DA-4310-895E-C65D996BD0C4}"/>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1267" b="19271"/>
        <a:stretch/>
      </xdr:blipFill>
      <xdr:spPr>
        <a:xfrm>
          <a:off x="1920240" y="9456420"/>
          <a:ext cx="1355131" cy="495868"/>
        </a:xfrm>
        <a:prstGeom prst="rect">
          <a:avLst/>
        </a:prstGeom>
      </xdr:spPr>
    </xdr:pic>
    <xdr:clientData/>
  </xdr:twoCellAnchor>
  <xdr:twoCellAnchor editAs="oneCell">
    <xdr:from>
      <xdr:col>5</xdr:col>
      <xdr:colOff>133350</xdr:colOff>
      <xdr:row>39</xdr:row>
      <xdr:rowOff>5715</xdr:rowOff>
    </xdr:from>
    <xdr:to>
      <xdr:col>5</xdr:col>
      <xdr:colOff>955040</xdr:colOff>
      <xdr:row>40</xdr:row>
      <xdr:rowOff>3175</xdr:rowOff>
    </xdr:to>
    <xdr:pic>
      <xdr:nvPicPr>
        <xdr:cNvPr id="3" name="Picture 2">
          <a:extLst>
            <a:ext uri="{FF2B5EF4-FFF2-40B4-BE49-F238E27FC236}">
              <a16:creationId xmlns:a16="http://schemas.microsoft.com/office/drawing/2014/main" id="{6A71A3C4-EA6D-4208-B035-CD095B34E818}"/>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643" t="4177" r="80564" b="40219"/>
        <a:stretch>
          <a:fillRect/>
        </a:stretch>
      </xdr:blipFill>
      <xdr:spPr bwMode="auto">
        <a:xfrm>
          <a:off x="6067425" y="7111365"/>
          <a:ext cx="821690" cy="81661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31</xdr:col>
      <xdr:colOff>130175</xdr:colOff>
      <xdr:row>51</xdr:row>
      <xdr:rowOff>38100</xdr:rowOff>
    </xdr:from>
    <xdr:ext cx="712568" cy="259080"/>
    <xdr:pic>
      <xdr:nvPicPr>
        <xdr:cNvPr id="4" name="Picture 3">
          <a:extLst>
            <a:ext uri="{FF2B5EF4-FFF2-40B4-BE49-F238E27FC236}">
              <a16:creationId xmlns:a16="http://schemas.microsoft.com/office/drawing/2014/main" id="{A89EB338-552B-4A0D-8973-ECBCD70620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72175" y="8775700"/>
          <a:ext cx="712568" cy="259080"/>
        </a:xfrm>
        <a:prstGeom prst="rect">
          <a:avLst/>
        </a:prstGeom>
      </xdr:spPr>
    </xdr:pic>
    <xdr:clientData/>
  </xdr:oneCellAnchor>
  <xdr:oneCellAnchor>
    <xdr:from>
      <xdr:col>32</xdr:col>
      <xdr:colOff>2540</xdr:colOff>
      <xdr:row>101</xdr:row>
      <xdr:rowOff>82550</xdr:rowOff>
    </xdr:from>
    <xdr:ext cx="712568" cy="259080"/>
    <xdr:pic>
      <xdr:nvPicPr>
        <xdr:cNvPr id="5" name="Picture 4">
          <a:extLst>
            <a:ext uri="{FF2B5EF4-FFF2-40B4-BE49-F238E27FC236}">
              <a16:creationId xmlns:a16="http://schemas.microsoft.com/office/drawing/2014/main" id="{4FADBA19-A477-4875-9B90-4FA3083DB8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5040" y="17081500"/>
          <a:ext cx="712568" cy="259080"/>
        </a:xfrm>
        <a:prstGeom prst="rect">
          <a:avLst/>
        </a:prstGeom>
      </xdr:spPr>
    </xdr:pic>
    <xdr:clientData/>
  </xdr:oneCellAnchor>
  <xdr:oneCellAnchor>
    <xdr:from>
      <xdr:col>31</xdr:col>
      <xdr:colOff>161290</xdr:colOff>
      <xdr:row>154</xdr:row>
      <xdr:rowOff>78740</xdr:rowOff>
    </xdr:from>
    <xdr:ext cx="712568" cy="259080"/>
    <xdr:pic>
      <xdr:nvPicPr>
        <xdr:cNvPr id="9" name="Picture 8">
          <a:extLst>
            <a:ext uri="{FF2B5EF4-FFF2-40B4-BE49-F238E27FC236}">
              <a16:creationId xmlns:a16="http://schemas.microsoft.com/office/drawing/2014/main" id="{7BC2CF75-5770-4B37-871F-A03693792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3290" y="2543429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168275</xdr:colOff>
          <xdr:row>5</xdr:row>
          <xdr:rowOff>0</xdr:rowOff>
        </xdr:to>
        <xdr:pic>
          <xdr:nvPicPr>
            <xdr:cNvPr id="7" name="Picture 6">
              <a:extLst>
                <a:ext uri="{FF2B5EF4-FFF2-40B4-BE49-F238E27FC236}">
                  <a16:creationId xmlns:a16="http://schemas.microsoft.com/office/drawing/2014/main" id="{E347A45E-F3C6-02F3-570E-43F54C08818C}"/>
                </a:ext>
              </a:extLst>
            </xdr:cNvPr>
            <xdr:cNvPicPr>
              <a:picLocks noChangeAspect="1" noChangeArrowheads="1"/>
              <a:extLst>
                <a:ext uri="{84589F7E-364E-4C9E-8A38-B11213B215E9}">
                  <a14:cameraTool cellRange="Logo" spid="_x0000_s13204"/>
                </a:ext>
              </a:extLst>
            </xdr:cNvPicPr>
          </xdr:nvPicPr>
          <xdr:blipFill>
            <a:blip xmlns:r="http://schemas.openxmlformats.org/officeDocument/2006/relationships" r:embed="rId2"/>
            <a:srcRect/>
            <a:stretch>
              <a:fillRect/>
            </a:stretch>
          </xdr:blipFill>
          <xdr:spPr bwMode="auto">
            <a:xfrm>
              <a:off x="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0</xdr:row>
          <xdr:rowOff>0</xdr:rowOff>
        </xdr:from>
        <xdr:to>
          <xdr:col>54</xdr:col>
          <xdr:colOff>17780</xdr:colOff>
          <xdr:row>5</xdr:row>
          <xdr:rowOff>0</xdr:rowOff>
        </xdr:to>
        <xdr:pic>
          <xdr:nvPicPr>
            <xdr:cNvPr id="11" name="Picture 10">
              <a:extLst>
                <a:ext uri="{FF2B5EF4-FFF2-40B4-BE49-F238E27FC236}">
                  <a16:creationId xmlns:a16="http://schemas.microsoft.com/office/drawing/2014/main" id="{4F7F737B-BA5D-FBFC-9A08-6865C6C4ED2D}"/>
                </a:ext>
              </a:extLst>
            </xdr:cNvPr>
            <xdr:cNvPicPr>
              <a:picLocks noChangeAspect="1" noChangeArrowheads="1"/>
              <a:extLst>
                <a:ext uri="{84589F7E-364E-4C9E-8A38-B11213B215E9}">
                  <a14:cameraTool cellRange="Logo" spid="_x0000_s13205"/>
                </a:ext>
              </a:extLst>
            </xdr:cNvPicPr>
          </xdr:nvPicPr>
          <xdr:blipFill>
            <a:blip xmlns:r="http://schemas.openxmlformats.org/officeDocument/2006/relationships" r:embed="rId2"/>
            <a:srcRect/>
            <a:stretch>
              <a:fillRect/>
            </a:stretch>
          </xdr:blipFill>
          <xdr:spPr bwMode="auto">
            <a:xfrm>
              <a:off x="711200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32</xdr:col>
      <xdr:colOff>5080</xdr:colOff>
      <xdr:row>197</xdr:row>
      <xdr:rowOff>110490</xdr:rowOff>
    </xdr:from>
    <xdr:ext cx="712568" cy="259080"/>
    <xdr:pic>
      <xdr:nvPicPr>
        <xdr:cNvPr id="3" name="Picture 2">
          <a:extLst>
            <a:ext uri="{FF2B5EF4-FFF2-40B4-BE49-F238E27FC236}">
              <a16:creationId xmlns:a16="http://schemas.microsoft.com/office/drawing/2014/main" id="{918EAE78-A9C2-4725-A92A-8545EB013F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7580" y="33505140"/>
          <a:ext cx="712568" cy="2590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31</xdr:col>
      <xdr:colOff>187325</xdr:colOff>
      <xdr:row>108</xdr:row>
      <xdr:rowOff>102235</xdr:rowOff>
    </xdr:from>
    <xdr:ext cx="712568" cy="259080"/>
    <xdr:pic>
      <xdr:nvPicPr>
        <xdr:cNvPr id="2" name="Picture 1" descr="A blue text on a white background&#10;&#10;Description automatically generated">
          <a:extLst>
            <a:ext uri="{FF2B5EF4-FFF2-40B4-BE49-F238E27FC236}">
              <a16:creationId xmlns:a16="http://schemas.microsoft.com/office/drawing/2014/main" id="{DA9AEFC6-5F4A-42AF-BE2A-C955C58F93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6150" y="1789112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43</xdr:col>
          <xdr:colOff>47625</xdr:colOff>
          <xdr:row>0</xdr:row>
          <xdr:rowOff>20955</xdr:rowOff>
        </xdr:from>
        <xdr:to>
          <xdr:col>50</xdr:col>
          <xdr:colOff>131445</xdr:colOff>
          <xdr:row>5</xdr:row>
          <xdr:rowOff>20955</xdr:rowOff>
        </xdr:to>
        <xdr:pic>
          <xdr:nvPicPr>
            <xdr:cNvPr id="3" name="Picture 2">
              <a:extLst>
                <a:ext uri="{FF2B5EF4-FFF2-40B4-BE49-F238E27FC236}">
                  <a16:creationId xmlns:a16="http://schemas.microsoft.com/office/drawing/2014/main" id="{DB19C79A-A5BA-4DB2-800F-9066BCDC940C}"/>
                </a:ext>
              </a:extLst>
            </xdr:cNvPr>
            <xdr:cNvPicPr>
              <a:picLocks noChangeAspect="1" noChangeArrowheads="1"/>
              <a:extLst>
                <a:ext uri="{84589F7E-364E-4C9E-8A38-B11213B215E9}">
                  <a14:cameraTool cellRange="Logo" spid="_x0000_s19630"/>
                </a:ext>
              </a:extLst>
            </xdr:cNvPicPr>
          </xdr:nvPicPr>
          <xdr:blipFill>
            <a:blip xmlns:r="http://schemas.openxmlformats.org/officeDocument/2006/relationships" r:embed="rId2"/>
            <a:srcRect/>
            <a:stretch>
              <a:fillRect/>
            </a:stretch>
          </xdr:blipFill>
          <xdr:spPr bwMode="auto">
            <a:xfrm>
              <a:off x="7159625" y="20955"/>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31</xdr:col>
      <xdr:colOff>187325</xdr:colOff>
      <xdr:row>61</xdr:row>
      <xdr:rowOff>0</xdr:rowOff>
    </xdr:from>
    <xdr:ext cx="712568" cy="259080"/>
    <xdr:pic>
      <xdr:nvPicPr>
        <xdr:cNvPr id="4" name="Picture 3">
          <a:extLst>
            <a:ext uri="{FF2B5EF4-FFF2-40B4-BE49-F238E27FC236}">
              <a16:creationId xmlns:a16="http://schemas.microsoft.com/office/drawing/2014/main" id="{7CB8F984-91D7-48FF-B0ED-21CBBEA096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6150" y="889952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158750</xdr:colOff>
          <xdr:row>5</xdr:row>
          <xdr:rowOff>0</xdr:rowOff>
        </xdr:to>
        <xdr:pic>
          <xdr:nvPicPr>
            <xdr:cNvPr id="5" name="Picture 4">
              <a:extLst>
                <a:ext uri="{FF2B5EF4-FFF2-40B4-BE49-F238E27FC236}">
                  <a16:creationId xmlns:a16="http://schemas.microsoft.com/office/drawing/2014/main" id="{1B0FE7B4-6CF3-4E91-9B48-6DF1B794F927}"/>
                </a:ext>
              </a:extLst>
            </xdr:cNvPr>
            <xdr:cNvPicPr>
              <a:picLocks noChangeAspect="1"/>
              <a:extLst>
                <a:ext uri="{84589F7E-364E-4C9E-8A38-B11213B215E9}">
                  <a14:cameraTool cellRange="Logo" spid="_x0000_s19631"/>
                </a:ext>
              </a:extLst>
            </xdr:cNvPicPr>
          </xdr:nvPicPr>
          <xdr:blipFill rotWithShape="1">
            <a:blip xmlns:r="http://schemas.openxmlformats.org/officeDocument/2006/relationships" r:embed="rId2"/>
            <a:stretch>
              <a:fillRect/>
            </a:stretch>
          </xdr:blipFill>
          <xdr:spPr bwMode="auto">
            <a:xfrm>
              <a:off x="0" y="0"/>
              <a:ext cx="1428750" cy="819150"/>
            </a:xfrm>
            <a:prstGeom prst="rect">
              <a:avLst/>
            </a:prstGeom>
            <a:noFill/>
            <a:ln>
              <a:noFill/>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33</xdr:col>
      <xdr:colOff>89535</xdr:colOff>
      <xdr:row>55</xdr:row>
      <xdr:rowOff>76200</xdr:rowOff>
    </xdr:from>
    <xdr:ext cx="712568" cy="259080"/>
    <xdr:pic>
      <xdr:nvPicPr>
        <xdr:cNvPr id="6" name="Picture 5">
          <a:extLst>
            <a:ext uri="{FF2B5EF4-FFF2-40B4-BE49-F238E27FC236}">
              <a16:creationId xmlns:a16="http://schemas.microsoft.com/office/drawing/2014/main" id="{9D60A0B2-5823-4ACD-935B-9AF1728BF6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5235" y="8769350"/>
          <a:ext cx="712568" cy="259080"/>
        </a:xfrm>
        <a:prstGeom prst="rect">
          <a:avLst/>
        </a:prstGeom>
      </xdr:spPr>
    </xdr:pic>
    <xdr:clientData/>
  </xdr:oneCellAnchor>
  <xdr:oneCellAnchor>
    <xdr:from>
      <xdr:col>33</xdr:col>
      <xdr:colOff>142240</xdr:colOff>
      <xdr:row>104</xdr:row>
      <xdr:rowOff>91440</xdr:rowOff>
    </xdr:from>
    <xdr:ext cx="712568" cy="259080"/>
    <xdr:pic>
      <xdr:nvPicPr>
        <xdr:cNvPr id="7" name="Picture 6">
          <a:extLst>
            <a:ext uri="{FF2B5EF4-FFF2-40B4-BE49-F238E27FC236}">
              <a16:creationId xmlns:a16="http://schemas.microsoft.com/office/drawing/2014/main" id="{1ECB30E9-64FF-4324-8AC5-645D2B81BF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7280" y="9235440"/>
          <a:ext cx="712568" cy="259080"/>
        </a:xfrm>
        <a:prstGeom prst="rect">
          <a:avLst/>
        </a:prstGeom>
      </xdr:spPr>
    </xdr:pic>
    <xdr:clientData/>
  </xdr:oneCellAnchor>
  <xdr:oneCellAnchor>
    <xdr:from>
      <xdr:col>31</xdr:col>
      <xdr:colOff>88900</xdr:colOff>
      <xdr:row>150</xdr:row>
      <xdr:rowOff>29119</xdr:rowOff>
    </xdr:from>
    <xdr:ext cx="712568" cy="259080"/>
    <xdr:pic>
      <xdr:nvPicPr>
        <xdr:cNvPr id="8" name="Picture 7">
          <a:extLst>
            <a:ext uri="{FF2B5EF4-FFF2-40B4-BE49-F238E27FC236}">
              <a16:creationId xmlns:a16="http://schemas.microsoft.com/office/drawing/2014/main" id="{5DF91135-C8C3-4848-9AB5-BA9558DCB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39971" y="31345958"/>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135890</xdr:colOff>
          <xdr:row>5</xdr:row>
          <xdr:rowOff>0</xdr:rowOff>
        </xdr:to>
        <xdr:pic>
          <xdr:nvPicPr>
            <xdr:cNvPr id="11" name="Picture 10">
              <a:extLst>
                <a:ext uri="{FF2B5EF4-FFF2-40B4-BE49-F238E27FC236}">
                  <a16:creationId xmlns:a16="http://schemas.microsoft.com/office/drawing/2014/main" id="{3B7BF18F-553A-458A-AC81-9F2ACE6711E2}"/>
                </a:ext>
              </a:extLst>
            </xdr:cNvPr>
            <xdr:cNvPicPr>
              <a:picLocks noChangeAspect="1" noChangeArrowheads="1"/>
              <a:extLst>
                <a:ext uri="{84589F7E-364E-4C9E-8A38-B11213B215E9}">
                  <a14:cameraTool cellRange="Logo" spid="_x0000_s18289"/>
                </a:ext>
              </a:extLst>
            </xdr:cNvPicPr>
          </xdr:nvPicPr>
          <xdr:blipFill>
            <a:blip xmlns:r="http://schemas.openxmlformats.org/officeDocument/2006/relationships" r:embed="rId2"/>
            <a:srcRect/>
            <a:stretch>
              <a:fillRect/>
            </a:stretch>
          </xdr:blipFill>
          <xdr:spPr bwMode="auto">
            <a:xfrm>
              <a:off x="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0</xdr:row>
          <xdr:rowOff>0</xdr:rowOff>
        </xdr:from>
        <xdr:to>
          <xdr:col>54</xdr:col>
          <xdr:colOff>21590</xdr:colOff>
          <xdr:row>5</xdr:row>
          <xdr:rowOff>0</xdr:rowOff>
        </xdr:to>
        <xdr:pic>
          <xdr:nvPicPr>
            <xdr:cNvPr id="13" name="Picture 12">
              <a:extLst>
                <a:ext uri="{FF2B5EF4-FFF2-40B4-BE49-F238E27FC236}">
                  <a16:creationId xmlns:a16="http://schemas.microsoft.com/office/drawing/2014/main" id="{48ED1FBB-CA88-FF8F-4FA7-AC949F1E808B}"/>
                </a:ext>
              </a:extLst>
            </xdr:cNvPr>
            <xdr:cNvPicPr>
              <a:picLocks noChangeAspect="1" noChangeArrowheads="1"/>
              <a:extLst>
                <a:ext uri="{84589F7E-364E-4C9E-8A38-B11213B215E9}">
                  <a14:cameraTool cellRange="Logo" spid="_x0000_s18290"/>
                </a:ext>
              </a:extLst>
            </xdr:cNvPicPr>
          </xdr:nvPicPr>
          <xdr:blipFill>
            <a:blip xmlns:r="http://schemas.openxmlformats.org/officeDocument/2006/relationships" r:embed="rId2"/>
            <a:srcRect/>
            <a:stretch>
              <a:fillRect/>
            </a:stretch>
          </xdr:blipFill>
          <xdr:spPr bwMode="auto">
            <a:xfrm>
              <a:off x="7404100" y="0"/>
              <a:ext cx="142875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32</xdr:col>
      <xdr:colOff>112485</xdr:colOff>
      <xdr:row>241</xdr:row>
      <xdr:rowOff>75021</xdr:rowOff>
    </xdr:from>
    <xdr:ext cx="712568" cy="259080"/>
    <xdr:pic>
      <xdr:nvPicPr>
        <xdr:cNvPr id="2" name="Picture 1">
          <a:extLst>
            <a:ext uri="{FF2B5EF4-FFF2-40B4-BE49-F238E27FC236}">
              <a16:creationId xmlns:a16="http://schemas.microsoft.com/office/drawing/2014/main" id="{B9C7CDC6-2939-4815-B6EE-0612FF730E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7253" y="41991825"/>
          <a:ext cx="712568" cy="259080"/>
        </a:xfrm>
        <a:prstGeom prst="rect">
          <a:avLst/>
        </a:prstGeom>
      </xdr:spPr>
    </xdr:pic>
    <xdr:clientData/>
  </xdr:oneCellAnchor>
  <xdr:oneCellAnchor>
    <xdr:from>
      <xdr:col>31</xdr:col>
      <xdr:colOff>88900</xdr:colOff>
      <xdr:row>199</xdr:row>
      <xdr:rowOff>29119</xdr:rowOff>
    </xdr:from>
    <xdr:ext cx="712568" cy="259080"/>
    <xdr:pic>
      <xdr:nvPicPr>
        <xdr:cNvPr id="3" name="Picture 2">
          <a:extLst>
            <a:ext uri="{FF2B5EF4-FFF2-40B4-BE49-F238E27FC236}">
              <a16:creationId xmlns:a16="http://schemas.microsoft.com/office/drawing/2014/main" id="{C9AE8B9C-517B-4254-BB50-0D2D4C0DEB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3781" y="25248053"/>
          <a:ext cx="712568" cy="25908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0EFB0-EACE-4F2E-965F-30EBADAB0D63}" name="T_Material" displayName="T_Material" ref="D1:D10" totalsRowShown="0">
  <autoFilter ref="D1:D10" xr:uid="{4350EFB0-EACE-4F2E-965F-30EBADAB0D63}"/>
  <sortState xmlns:xlrd2="http://schemas.microsoft.com/office/spreadsheetml/2017/richdata2" ref="D2:D10">
    <sortCondition ref="D2:D10"/>
  </sortState>
  <tableColumns count="1">
    <tableColumn id="1" xr3:uid="{20635FEE-B87A-4613-8116-D42DBA41BC7B}" name="Materi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9741E-8EC4-48CA-B62A-CDE619601AF9}" name="T_Shape" displayName="T_Shape" ref="F1:F10" totalsRowShown="0">
  <autoFilter ref="F1:F10" xr:uid="{6939741E-8EC4-48CA-B62A-CDE619601AF9}"/>
  <sortState xmlns:xlrd2="http://schemas.microsoft.com/office/spreadsheetml/2017/richdata2" ref="F2:F10">
    <sortCondition ref="F2:F10"/>
  </sortState>
  <tableColumns count="1">
    <tableColumn id="1" xr3:uid="{FCA45FDF-4BF6-485F-9343-A0FC0251070A}" name="Shap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7A227-8DCB-4BDE-A6B8-65F88654921D}" name="T_Type" displayName="T_Type" ref="H1:H5" totalsRowShown="0">
  <autoFilter ref="H1:H5" xr:uid="{2397A227-8DCB-4BDE-A6B8-65F88654921D}"/>
  <tableColumns count="1">
    <tableColumn id="1" xr3:uid="{027BD434-05A1-4059-97D8-98CB878E91EF}"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10C78-AF29-47BA-9C97-B74BAA8C7E1E}" name="T_Response" displayName="T_Response" ref="J1:J21" totalsRowShown="0">
  <autoFilter ref="J1:J21" xr:uid="{88C10C78-AF29-47BA-9C97-B74BAA8C7E1E}"/>
  <tableColumns count="1">
    <tableColumn id="1" xr3:uid="{C70FD3B5-6EE9-47D3-96F9-BC5D876984C6}" name="Design Respon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20E0CD-9FF5-4429-B02C-A4AA875B3A00}" name="OP" displayName="OP" ref="H8:H14" totalsRowShown="0" headerRowDxfId="387" dataDxfId="386">
  <autoFilter ref="H8:H14" xr:uid="{EE20E0CD-9FF5-4429-B02C-A4AA875B3A00}"/>
  <tableColumns count="1">
    <tableColumn id="1" xr3:uid="{AA4983EF-89D2-4540-A45A-86C4621A9AB1}" name="Outlet Protection" dataDxfId="38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E4BCC4E-C487-450B-8E14-8D68B69F52DC}" name="Storms" displayName="Storms" ref="K26:L32" totalsRowShown="0" headerRowDxfId="384">
  <autoFilter ref="K26:L32" xr:uid="{7E4BCC4E-C487-450B-8E14-8D68B69F52DC}"/>
  <tableColumns count="2">
    <tableColumn id="1" xr3:uid="{7063CFA3-EC61-45E9-A215-36570FEAAB66}" name="Known or Adj Storm" dataDxfId="383"/>
    <tableColumn id="2" xr3:uid="{01429BCA-C88B-4D28-B15F-9C579589AFE7}" name="Requirements" dataDxfId="38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192689E-BA64-4BE7-A09A-A34D1522C432}" name="Table8" displayName="Table8" ref="L35:L37" totalsRowShown="0" headerRowDxfId="381" dataDxfId="380">
  <autoFilter ref="L35:L37" xr:uid="{0192689E-BA64-4BE7-A09A-A34D1522C432}"/>
  <tableColumns count="1">
    <tableColumn id="1" xr3:uid="{08486E68-83D9-47F6-916A-6DEF58F685F3}" name="Question" dataDxfId="37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10DD18-5DCB-4D1C-90B8-A6404DAADCA8}" name="Table810" displayName="Table810" ref="B11:B14" totalsRowShown="0" headerRowDxfId="378" dataDxfId="377">
  <autoFilter ref="B11:B14" xr:uid="{BC10DD18-5DCB-4D1C-90B8-A6404DAADCA8}"/>
  <tableColumns count="1">
    <tableColumn id="1" xr3:uid="{7C4A9372-E85F-4118-B51C-79558F58E656}" name="Acceptance Table" dataDxfId="376"/>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11" Type="http://schemas.openxmlformats.org/officeDocument/2006/relationships/table" Target="../tables/table8.xml"/><Relationship Id="rId5" Type="http://schemas.openxmlformats.org/officeDocument/2006/relationships/table" Target="../tables/table2.xml"/><Relationship Id="rId10" Type="http://schemas.openxmlformats.org/officeDocument/2006/relationships/table" Target="../tables/table7.xml"/><Relationship Id="rId4" Type="http://schemas.openxmlformats.org/officeDocument/2006/relationships/table" Target="../tables/table1.xml"/><Relationship Id="rId9"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CB43-2341-4A92-ACD7-244D3FF85EAC}">
  <sheetPr codeName="Sheet3">
    <tabColor rgb="FFFF0000"/>
  </sheetPr>
  <dimension ref="A1:S46"/>
  <sheetViews>
    <sheetView showGridLines="0" zoomScaleNormal="100" workbookViewId="0">
      <selection activeCell="F14" sqref="F14"/>
    </sheetView>
  </sheetViews>
  <sheetFormatPr defaultRowHeight="14.4" x14ac:dyDescent="0.3"/>
  <cols>
    <col min="1" max="1" width="28.44140625" bestFit="1" customWidth="1"/>
    <col min="2" max="2" width="23.21875" bestFit="1" customWidth="1"/>
    <col min="3" max="3" width="4.77734375" customWidth="1"/>
    <col min="4" max="4" width="26.33203125" bestFit="1" customWidth="1"/>
    <col min="5" max="5" width="3.77734375" customWidth="1"/>
    <col min="6" max="6" width="20.77734375" customWidth="1"/>
    <col min="7" max="7" width="4.5546875" bestFit="1" customWidth="1"/>
    <col min="8" max="8" width="26" bestFit="1" customWidth="1"/>
    <col min="9" max="9" width="3.77734375" customWidth="1"/>
    <col min="10" max="10" width="75.5546875" bestFit="1" customWidth="1"/>
    <col min="11" max="11" width="20" customWidth="1"/>
    <col min="12" max="12" width="23.33203125" bestFit="1" customWidth="1"/>
    <col min="13" max="13" width="23.33203125" customWidth="1"/>
    <col min="14" max="15" width="20.44140625" bestFit="1" customWidth="1"/>
    <col min="16" max="16" width="25" bestFit="1" customWidth="1"/>
    <col min="17" max="18" width="20.44140625" bestFit="1" customWidth="1"/>
  </cols>
  <sheetData>
    <row r="1" spans="1:18" x14ac:dyDescent="0.3">
      <c r="A1" s="175" t="s">
        <v>487</v>
      </c>
      <c r="B1" s="176"/>
      <c r="D1" t="s">
        <v>21</v>
      </c>
      <c r="F1" t="s">
        <v>31</v>
      </c>
      <c r="H1" t="s">
        <v>59</v>
      </c>
      <c r="J1" t="s">
        <v>77</v>
      </c>
      <c r="K1">
        <v>1</v>
      </c>
      <c r="L1" s="161" t="s">
        <v>279</v>
      </c>
      <c r="M1" s="161" t="s">
        <v>499</v>
      </c>
      <c r="N1" s="161" t="s">
        <v>150</v>
      </c>
      <c r="O1" s="161" t="s">
        <v>227</v>
      </c>
      <c r="P1" s="161" t="s">
        <v>152</v>
      </c>
      <c r="Q1" s="161" t="s">
        <v>149</v>
      </c>
      <c r="R1" s="161" t="s">
        <v>151</v>
      </c>
    </row>
    <row r="2" spans="1:18" x14ac:dyDescent="0.3">
      <c r="A2" s="152" t="s">
        <v>488</v>
      </c>
      <c r="B2" s="153">
        <f>EDATE(F$13,B3)</f>
        <v>46296</v>
      </c>
      <c r="D2" t="s">
        <v>22</v>
      </c>
      <c r="F2" t="s">
        <v>330</v>
      </c>
      <c r="H2" t="s">
        <v>203</v>
      </c>
      <c r="J2" t="s">
        <v>275</v>
      </c>
      <c r="K2">
        <f>K1+1</f>
        <v>2</v>
      </c>
      <c r="L2" s="82" t="s">
        <v>5</v>
      </c>
      <c r="M2" s="142">
        <v>1</v>
      </c>
      <c r="N2" s="142">
        <v>1.1000000000000001</v>
      </c>
      <c r="O2" s="142">
        <v>1.1000000000000001</v>
      </c>
      <c r="P2" s="142">
        <v>1.2</v>
      </c>
      <c r="Q2" s="142">
        <v>1.1000000000000001</v>
      </c>
      <c r="R2" s="142">
        <v>1.1000000000000001</v>
      </c>
    </row>
    <row r="3" spans="1:18" x14ac:dyDescent="0.3">
      <c r="A3" s="154" t="s">
        <v>489</v>
      </c>
      <c r="B3" s="155">
        <v>12</v>
      </c>
      <c r="D3" t="s">
        <v>67</v>
      </c>
      <c r="F3" t="s">
        <v>331</v>
      </c>
      <c r="H3" t="s">
        <v>204</v>
      </c>
      <c r="J3" t="s">
        <v>72</v>
      </c>
      <c r="K3">
        <f t="shared" ref="K3:K19" si="0">K2+1</f>
        <v>3</v>
      </c>
      <c r="L3" s="82" t="s">
        <v>6</v>
      </c>
      <c r="M3" s="142">
        <v>6.02</v>
      </c>
      <c r="N3" s="142">
        <v>4.1100000000000003</v>
      </c>
      <c r="O3" s="142">
        <v>4.1399999999999997</v>
      </c>
      <c r="P3" s="142">
        <v>5.7</v>
      </c>
      <c r="Q3" s="142">
        <v>4.24</v>
      </c>
      <c r="R3" s="142">
        <v>4.21</v>
      </c>
    </row>
    <row r="4" spans="1:18" x14ac:dyDescent="0.3">
      <c r="A4" s="154" t="s">
        <v>490</v>
      </c>
      <c r="B4" s="156"/>
      <c r="D4" t="s">
        <v>68</v>
      </c>
      <c r="F4" t="s">
        <v>188</v>
      </c>
      <c r="H4" t="s">
        <v>285</v>
      </c>
      <c r="J4" t="s">
        <v>78</v>
      </c>
      <c r="K4">
        <f t="shared" si="0"/>
        <v>4</v>
      </c>
      <c r="L4" s="82" t="s">
        <v>7</v>
      </c>
      <c r="M4" s="142">
        <v>7.68</v>
      </c>
      <c r="N4" s="142">
        <v>5.01</v>
      </c>
      <c r="O4" s="142">
        <v>5.0599999999999996</v>
      </c>
      <c r="P4" s="142">
        <v>7.21</v>
      </c>
      <c r="Q4" s="142">
        <v>5.3</v>
      </c>
      <c r="R4" s="142">
        <v>5.24</v>
      </c>
    </row>
    <row r="5" spans="1:18" x14ac:dyDescent="0.3">
      <c r="A5" s="154" t="s">
        <v>491</v>
      </c>
      <c r="B5" s="155" t="s">
        <v>525</v>
      </c>
      <c r="D5" t="s">
        <v>26</v>
      </c>
      <c r="F5" t="s">
        <v>187</v>
      </c>
      <c r="H5" t="s">
        <v>264</v>
      </c>
      <c r="J5" t="s">
        <v>69</v>
      </c>
      <c r="K5">
        <f t="shared" si="0"/>
        <v>5</v>
      </c>
      <c r="L5" s="82" t="s">
        <v>8</v>
      </c>
      <c r="M5" s="142">
        <v>9.26</v>
      </c>
      <c r="N5" s="142">
        <v>5.87</v>
      </c>
      <c r="O5" s="142">
        <v>5.91</v>
      </c>
      <c r="P5" s="142">
        <v>8.6300000000000008</v>
      </c>
      <c r="Q5" s="142">
        <v>6.24</v>
      </c>
      <c r="R5" s="142">
        <v>6.17</v>
      </c>
    </row>
    <row r="6" spans="1:18" x14ac:dyDescent="0.3">
      <c r="A6" s="154" t="s">
        <v>492</v>
      </c>
      <c r="B6" s="157">
        <f>IF(ISBLANK($B$4),$B$2,$B$4)</f>
        <v>46296</v>
      </c>
      <c r="D6" t="s">
        <v>24</v>
      </c>
      <c r="F6" t="s">
        <v>190</v>
      </c>
      <c r="J6" t="str">
        <f>"Emergency Spillway Velocity &gt; "&amp;$F$26&amp;" ft/s"</f>
        <v>Emergency Spillway Velocity &gt; 6 ft/s</v>
      </c>
      <c r="K6">
        <f t="shared" si="0"/>
        <v>6</v>
      </c>
      <c r="L6" s="82" t="s">
        <v>9</v>
      </c>
      <c r="M6" s="142">
        <v>11.7</v>
      </c>
      <c r="N6" s="142">
        <v>7.21</v>
      </c>
      <c r="O6" s="142">
        <v>7.26</v>
      </c>
      <c r="P6" s="142">
        <v>10.8</v>
      </c>
      <c r="Q6" s="142">
        <v>7.64</v>
      </c>
      <c r="R6" s="142">
        <v>7.55</v>
      </c>
    </row>
    <row r="7" spans="1:18" x14ac:dyDescent="0.3">
      <c r="A7" s="154" t="s">
        <v>493</v>
      </c>
      <c r="B7" s="158" t="b">
        <f>IF(License!$F$2="I ACCEPT",TRUE,FALSE)</f>
        <v>0</v>
      </c>
      <c r="D7" t="s">
        <v>23</v>
      </c>
      <c r="F7" t="s">
        <v>189</v>
      </c>
      <c r="J7" t="s">
        <v>483</v>
      </c>
      <c r="K7">
        <f t="shared" si="0"/>
        <v>7</v>
      </c>
      <c r="L7" s="82" t="s">
        <v>329</v>
      </c>
      <c r="M7" s="142">
        <v>13.9</v>
      </c>
      <c r="N7" s="142">
        <v>8.3699999999999992</v>
      </c>
      <c r="O7" s="142">
        <v>8.48</v>
      </c>
      <c r="P7" s="142">
        <v>12.7</v>
      </c>
      <c r="Q7" s="142">
        <v>8.8000000000000007</v>
      </c>
      <c r="R7" s="142">
        <v>8.6999999999999993</v>
      </c>
    </row>
    <row r="8" spans="1:18" x14ac:dyDescent="0.3">
      <c r="A8" s="159" t="s">
        <v>494</v>
      </c>
      <c r="B8" s="160" t="b">
        <f ca="1">OR(License!$F$4=B5, AND(B7=TRUE, NOW()&lt;B6))</f>
        <v>0</v>
      </c>
      <c r="D8" t="s">
        <v>28</v>
      </c>
      <c r="F8" t="s">
        <v>389</v>
      </c>
      <c r="H8" s="21" t="s">
        <v>471</v>
      </c>
      <c r="J8" t="s">
        <v>108</v>
      </c>
      <c r="K8">
        <f t="shared" si="0"/>
        <v>8</v>
      </c>
      <c r="L8" s="82" t="s">
        <v>10</v>
      </c>
      <c r="M8" s="142">
        <v>16.3</v>
      </c>
      <c r="N8" s="142">
        <v>9.65</v>
      </c>
      <c r="O8" s="142">
        <v>9.83</v>
      </c>
      <c r="P8" s="142">
        <v>14.8</v>
      </c>
      <c r="Q8" s="142">
        <v>10</v>
      </c>
      <c r="R8" s="142">
        <v>9.93</v>
      </c>
    </row>
    <row r="9" spans="1:18" ht="15.6" x14ac:dyDescent="0.35">
      <c r="A9" s="21"/>
      <c r="B9" s="21"/>
      <c r="D9" t="s">
        <v>25</v>
      </c>
      <c r="F9" t="s">
        <v>276</v>
      </c>
      <c r="H9" s="21" t="s">
        <v>472</v>
      </c>
      <c r="J9" t="s">
        <v>143</v>
      </c>
      <c r="K9">
        <f t="shared" si="0"/>
        <v>9</v>
      </c>
      <c r="L9" s="82" t="s">
        <v>230</v>
      </c>
      <c r="M9" s="143">
        <v>40574</v>
      </c>
      <c r="N9" s="143" t="s">
        <v>231</v>
      </c>
      <c r="O9" s="143" t="s">
        <v>232</v>
      </c>
      <c r="P9" s="143" t="s">
        <v>233</v>
      </c>
      <c r="Q9" s="143" t="s">
        <v>233</v>
      </c>
      <c r="R9" s="143" t="s">
        <v>234</v>
      </c>
    </row>
    <row r="10" spans="1:18" x14ac:dyDescent="0.3">
      <c r="A10" s="21"/>
      <c r="B10" s="21"/>
      <c r="D10" t="s">
        <v>66</v>
      </c>
      <c r="F10" t="s">
        <v>28</v>
      </c>
      <c r="H10" s="21" t="s">
        <v>473</v>
      </c>
      <c r="J10" t="s">
        <v>383</v>
      </c>
      <c r="K10">
        <f t="shared" si="0"/>
        <v>10</v>
      </c>
      <c r="L10" s="82" t="s">
        <v>235</v>
      </c>
      <c r="M10" s="141" t="s">
        <v>237</v>
      </c>
      <c r="N10" s="141" t="s">
        <v>236</v>
      </c>
      <c r="O10" s="141" t="s">
        <v>237</v>
      </c>
      <c r="P10" s="141" t="s">
        <v>236</v>
      </c>
      <c r="Q10" s="141" t="s">
        <v>236</v>
      </c>
      <c r="R10" s="141" t="s">
        <v>236</v>
      </c>
    </row>
    <row r="11" spans="1:18" x14ac:dyDescent="0.3">
      <c r="A11" s="21"/>
      <c r="B11" s="21" t="s">
        <v>495</v>
      </c>
      <c r="H11" s="21" t="s">
        <v>474</v>
      </c>
      <c r="J11" t="s">
        <v>268</v>
      </c>
      <c r="K11">
        <f t="shared" si="0"/>
        <v>11</v>
      </c>
      <c r="L11" s="82" t="s">
        <v>238</v>
      </c>
      <c r="M11" s="141" t="s">
        <v>533</v>
      </c>
      <c r="N11" s="141" t="s">
        <v>239</v>
      </c>
      <c r="O11" s="141" t="s">
        <v>115</v>
      </c>
      <c r="P11" s="141" t="s">
        <v>115</v>
      </c>
      <c r="Q11" s="141" t="s">
        <v>115</v>
      </c>
      <c r="R11" s="141" t="s">
        <v>115</v>
      </c>
    </row>
    <row r="12" spans="1:18" ht="16.2" x14ac:dyDescent="0.3">
      <c r="A12" s="21"/>
      <c r="B12" s="21" t="s">
        <v>496</v>
      </c>
      <c r="H12" s="21" t="s">
        <v>475</v>
      </c>
      <c r="J12" t="s">
        <v>335</v>
      </c>
      <c r="K12">
        <f t="shared" si="0"/>
        <v>12</v>
      </c>
      <c r="L12" s="82" t="s">
        <v>277</v>
      </c>
      <c r="M12" s="141"/>
      <c r="N12" s="141"/>
      <c r="O12" s="141"/>
      <c r="P12" s="141" t="s">
        <v>283</v>
      </c>
      <c r="Q12" s="141" t="s">
        <v>322</v>
      </c>
      <c r="R12" s="141"/>
    </row>
    <row r="13" spans="1:18" x14ac:dyDescent="0.3">
      <c r="A13" s="21"/>
      <c r="B13" s="21" t="s">
        <v>497</v>
      </c>
      <c r="D13" s="82" t="s">
        <v>222</v>
      </c>
      <c r="F13" s="135">
        <v>45931</v>
      </c>
      <c r="H13" s="21" t="s">
        <v>476</v>
      </c>
      <c r="J13" t="str">
        <f>F25&amp;" has not been provided"</f>
        <v>0 has not been provided</v>
      </c>
      <c r="K13">
        <f t="shared" si="0"/>
        <v>13</v>
      </c>
      <c r="L13" s="82" t="s">
        <v>278</v>
      </c>
      <c r="M13" s="141">
        <v>6</v>
      </c>
      <c r="N13" s="141">
        <v>5</v>
      </c>
      <c r="O13" s="141">
        <v>5</v>
      </c>
      <c r="P13" s="141">
        <v>5</v>
      </c>
      <c r="Q13" s="141">
        <v>6</v>
      </c>
      <c r="R13" s="141">
        <v>6</v>
      </c>
    </row>
    <row r="14" spans="1:18" x14ac:dyDescent="0.3">
      <c r="A14" s="21"/>
      <c r="B14" s="21" t="s">
        <v>498</v>
      </c>
      <c r="D14" s="85" t="s">
        <v>153</v>
      </c>
      <c r="F14" s="136" t="s">
        <v>499</v>
      </c>
      <c r="H14" s="21" t="s">
        <v>28</v>
      </c>
      <c r="J14" t="s">
        <v>421</v>
      </c>
      <c r="K14">
        <f t="shared" si="0"/>
        <v>14</v>
      </c>
      <c r="L14" s="82" t="s">
        <v>304</v>
      </c>
      <c r="M14" s="145" t="s">
        <v>380</v>
      </c>
      <c r="N14" s="144"/>
      <c r="O14" s="144"/>
      <c r="P14" s="145" t="s">
        <v>380</v>
      </c>
      <c r="Q14" s="145" t="s">
        <v>305</v>
      </c>
      <c r="R14" s="145" t="s">
        <v>306</v>
      </c>
    </row>
    <row r="15" spans="1:18" x14ac:dyDescent="0.3">
      <c r="D15" s="82" t="s">
        <v>5</v>
      </c>
      <c r="F15" s="137">
        <f>HLOOKUP($F$14,$M$1:$R$23,2)</f>
        <v>1</v>
      </c>
      <c r="G15" s="83" t="str">
        <f>TEXT(F15,"0.00")</f>
        <v>1.00</v>
      </c>
      <c r="J15" t="str">
        <f>"Known flooding:  "&amp;'Form 2B.1 - Design'!AS122&amp;"-yr discharge &gt; "&amp;'Form 2B.1 - Design'!AR122&amp;"-yr discharge"</f>
        <v>Known flooding:  2, 5, 10, 25, 50, and 100-yr discharge &gt; 2, 5, 10, 25, 50, and 100-yr discharge</v>
      </c>
      <c r="K15">
        <f t="shared" si="0"/>
        <v>15</v>
      </c>
      <c r="L15" s="82" t="s">
        <v>333</v>
      </c>
      <c r="M15" s="141" t="s">
        <v>334</v>
      </c>
      <c r="N15" t="s">
        <v>334</v>
      </c>
      <c r="O15" t="s">
        <v>334</v>
      </c>
      <c r="P15" t="s">
        <v>334</v>
      </c>
      <c r="Q15" t="s">
        <v>334</v>
      </c>
      <c r="R15" t="s">
        <v>334</v>
      </c>
    </row>
    <row r="16" spans="1:18" x14ac:dyDescent="0.3">
      <c r="D16" s="82" t="s">
        <v>6</v>
      </c>
      <c r="F16" s="137">
        <f>HLOOKUP($F$14,$M$1:$R$23,3)</f>
        <v>6.02</v>
      </c>
      <c r="J16" t="str">
        <f>"Drains to adjacent property:  "&amp;'Form 2B.1 - Design'!AS122&amp;"-yr discharge &gt; "&amp;'Form 2B.1 - Design'!AR122&amp;"-yr discharge"</f>
        <v>Drains to adjacent property:  2, 5, 10, 25, 50, and 100-yr discharge &gt; 2, 5, 10, 25, 50, and 100-yr discharge</v>
      </c>
      <c r="K16">
        <f t="shared" si="0"/>
        <v>16</v>
      </c>
      <c r="L16" s="82" t="s">
        <v>387</v>
      </c>
      <c r="M16" s="141">
        <v>6</v>
      </c>
      <c r="N16" s="83">
        <v>5</v>
      </c>
      <c r="O16" s="83">
        <v>6</v>
      </c>
      <c r="P16" s="83">
        <v>6</v>
      </c>
      <c r="Q16" s="83">
        <v>6</v>
      </c>
      <c r="R16" s="83">
        <v>6</v>
      </c>
    </row>
    <row r="17" spans="1:19" x14ac:dyDescent="0.3">
      <c r="D17" s="82" t="s">
        <v>7</v>
      </c>
      <c r="F17" s="137">
        <f>HLOOKUP($F$14,$M$1:$R$23,4)</f>
        <v>7.68</v>
      </c>
      <c r="G17" s="84"/>
      <c r="J17" t="s">
        <v>386</v>
      </c>
      <c r="K17">
        <f t="shared" si="0"/>
        <v>17</v>
      </c>
      <c r="L17" s="82" t="s">
        <v>388</v>
      </c>
      <c r="M17" s="141" t="s">
        <v>138</v>
      </c>
      <c r="N17" s="141" t="s">
        <v>138</v>
      </c>
      <c r="O17" s="141" t="s">
        <v>138</v>
      </c>
      <c r="P17" s="141" t="s">
        <v>138</v>
      </c>
      <c r="Q17" s="141" t="s">
        <v>138</v>
      </c>
      <c r="R17" s="141" t="s">
        <v>138</v>
      </c>
    </row>
    <row r="18" spans="1:19" x14ac:dyDescent="0.3">
      <c r="D18" s="82" t="s">
        <v>8</v>
      </c>
      <c r="F18" s="137">
        <f>HLOOKUP($F$14,$M$1:$R$23,5)</f>
        <v>9.26</v>
      </c>
      <c r="J18" t="str">
        <f>"Outlet Control Structure Velocity &gt; "&amp;$F$26&amp;" ft/s"</f>
        <v>Outlet Control Structure Velocity &gt; 6 ft/s</v>
      </c>
      <c r="K18">
        <f t="shared" si="0"/>
        <v>18</v>
      </c>
      <c r="L18" s="82" t="s">
        <v>396</v>
      </c>
      <c r="M18" s="141">
        <v>2</v>
      </c>
      <c r="N18" s="141">
        <v>2</v>
      </c>
      <c r="O18" s="141">
        <v>2</v>
      </c>
      <c r="P18" s="141">
        <v>2</v>
      </c>
      <c r="Q18" s="141">
        <v>25</v>
      </c>
      <c r="R18" s="141">
        <v>25</v>
      </c>
    </row>
    <row r="19" spans="1:19" x14ac:dyDescent="0.3">
      <c r="D19" s="82" t="s">
        <v>9</v>
      </c>
      <c r="F19" s="137">
        <f>HLOOKUP($F$14,$M$1:$R$23,6)</f>
        <v>11.7</v>
      </c>
      <c r="J19" t="s">
        <v>439</v>
      </c>
      <c r="K19" s="21">
        <f t="shared" si="0"/>
        <v>19</v>
      </c>
      <c r="L19" s="82" t="s">
        <v>455</v>
      </c>
      <c r="M19" s="141" t="str">
        <f t="shared" ref="M19" si="1">VLOOKUP(M18,$K$27:$L$32,2)</f>
        <v>2, 5, 10, 25, 50, and 100</v>
      </c>
      <c r="N19" s="141" t="str">
        <f>VLOOKUP(N18,$K$27:$L$32,2)</f>
        <v>2, 5, 10, 25, 50, and 100</v>
      </c>
      <c r="O19" s="141" t="str">
        <f>VLOOKUP(O18,$K$27:$L$32,2)</f>
        <v>2, 5, 10, 25, 50, and 100</v>
      </c>
      <c r="P19" s="141" t="str">
        <f t="shared" ref="P19:R19" si="2">VLOOKUP(P18,$K$27:$L$32,2)</f>
        <v>2, 5, 10, 25, 50, and 100</v>
      </c>
      <c r="Q19" s="141" t="str">
        <f t="shared" si="2"/>
        <v>25, 50, and 100</v>
      </c>
      <c r="R19" s="141" t="str">
        <f t="shared" si="2"/>
        <v>25, 50, and 100</v>
      </c>
    </row>
    <row r="20" spans="1:19" x14ac:dyDescent="0.3">
      <c r="A20" s="21"/>
      <c r="B20" s="21"/>
      <c r="D20" s="82" t="s">
        <v>329</v>
      </c>
      <c r="F20" s="137">
        <f>HLOOKUP($F$14,$M$1:$R$23,7)</f>
        <v>13.9</v>
      </c>
      <c r="J20" s="21" t="s">
        <v>481</v>
      </c>
      <c r="K20">
        <v>20</v>
      </c>
      <c r="L20" s="82" t="s">
        <v>397</v>
      </c>
      <c r="M20" s="141" t="s">
        <v>138</v>
      </c>
      <c r="N20" s="141" t="s">
        <v>176</v>
      </c>
      <c r="O20" s="141" t="s">
        <v>176</v>
      </c>
      <c r="P20" s="141" t="s">
        <v>176</v>
      </c>
      <c r="Q20" s="141" t="s">
        <v>176</v>
      </c>
      <c r="R20" s="141" t="s">
        <v>176</v>
      </c>
    </row>
    <row r="21" spans="1:19" x14ac:dyDescent="0.3">
      <c r="A21" s="21"/>
      <c r="B21" s="21"/>
      <c r="D21" s="82" t="s">
        <v>10</v>
      </c>
      <c r="F21" s="137">
        <f>HLOOKUP($F$14,$M$1:$R$23,8)</f>
        <v>16.3</v>
      </c>
      <c r="J21" s="21" t="s">
        <v>465</v>
      </c>
      <c r="K21">
        <v>21</v>
      </c>
      <c r="L21" s="82" t="s">
        <v>398</v>
      </c>
      <c r="M21" s="141">
        <v>2</v>
      </c>
      <c r="N21" s="141">
        <v>2</v>
      </c>
      <c r="O21" s="141">
        <v>2</v>
      </c>
      <c r="P21" s="141">
        <v>2</v>
      </c>
      <c r="Q21" s="141">
        <v>25</v>
      </c>
      <c r="R21" s="141">
        <v>25</v>
      </c>
    </row>
    <row r="22" spans="1:19" x14ac:dyDescent="0.3">
      <c r="A22" s="21"/>
      <c r="D22" s="82" t="s">
        <v>230</v>
      </c>
      <c r="F22" s="138">
        <f>HLOOKUP($F$14,$M$1:$R$23,9)</f>
        <v>40574</v>
      </c>
      <c r="K22" s="21">
        <f t="shared" ref="K22:K23" si="3">K21+1</f>
        <v>22</v>
      </c>
      <c r="L22" s="82" t="s">
        <v>463</v>
      </c>
      <c r="M22" s="141" t="str">
        <f t="shared" ref="M22" si="4">VLOOKUP(M21,$K$27:$L$32,2)</f>
        <v>2, 5, 10, 25, 50, and 100</v>
      </c>
      <c r="N22" s="141" t="str">
        <f>VLOOKUP(N21,$K$27:$L$32,2)</f>
        <v>2, 5, 10, 25, 50, and 100</v>
      </c>
      <c r="O22" s="141" t="str">
        <f>VLOOKUP(O21,$K$27:$L$32,2)</f>
        <v>2, 5, 10, 25, 50, and 100</v>
      </c>
      <c r="P22" s="141" t="str">
        <f t="shared" ref="P22:R22" si="5">VLOOKUP(P21,$K$27:$L$32,2)</f>
        <v>2, 5, 10, 25, 50, and 100</v>
      </c>
      <c r="Q22" s="141" t="str">
        <f t="shared" si="5"/>
        <v>25, 50, and 100</v>
      </c>
      <c r="R22" s="141" t="str">
        <f t="shared" si="5"/>
        <v>25, 50, and 100</v>
      </c>
      <c r="S22" s="21"/>
    </row>
    <row r="23" spans="1:19" x14ac:dyDescent="0.3">
      <c r="A23" s="21"/>
      <c r="D23" s="82" t="s">
        <v>240</v>
      </c>
      <c r="F23" s="138" t="str">
        <f>HLOOKUP($F$14,$M$1:$R$23,10)</f>
        <v>County</v>
      </c>
      <c r="K23" s="21">
        <f t="shared" si="3"/>
        <v>23</v>
      </c>
      <c r="L23" s="82" t="s">
        <v>454</v>
      </c>
      <c r="M23" s="141" t="s">
        <v>534</v>
      </c>
      <c r="N23" s="141" t="s">
        <v>535</v>
      </c>
      <c r="O23" s="141" t="s">
        <v>535</v>
      </c>
      <c r="P23" s="141" t="s">
        <v>535</v>
      </c>
      <c r="Q23" s="141" t="s">
        <v>536</v>
      </c>
      <c r="R23" s="141" t="s">
        <v>535</v>
      </c>
      <c r="S23" s="21"/>
    </row>
    <row r="24" spans="1:19" x14ac:dyDescent="0.3">
      <c r="A24" s="21"/>
      <c r="D24" s="82" t="s">
        <v>238</v>
      </c>
      <c r="F24" s="138" t="str">
        <f>HLOOKUP($F$14,$M$1:$R$23,11)</f>
        <v xml:space="preserve"> O&amp;M Plan</v>
      </c>
      <c r="K24" s="21">
        <v>24</v>
      </c>
      <c r="L24" s="82" t="s">
        <v>506</v>
      </c>
      <c r="M24" s="141" t="s">
        <v>499</v>
      </c>
      <c r="N24" s="141" t="s">
        <v>507</v>
      </c>
      <c r="O24" s="141" t="s">
        <v>508</v>
      </c>
      <c r="P24" s="141" t="s">
        <v>509</v>
      </c>
      <c r="Q24" s="141" t="s">
        <v>510</v>
      </c>
      <c r="R24" s="141" t="s">
        <v>511</v>
      </c>
    </row>
    <row r="25" spans="1:19" x14ac:dyDescent="0.3">
      <c r="A25" s="21"/>
      <c r="D25" s="82" t="s">
        <v>277</v>
      </c>
      <c r="F25" s="137">
        <f>HLOOKUP($F$14,$M$1:$R$23,12)</f>
        <v>0</v>
      </c>
    </row>
    <row r="26" spans="1:19" x14ac:dyDescent="0.3">
      <c r="D26" s="82" t="s">
        <v>278</v>
      </c>
      <c r="F26" s="137">
        <f>HLOOKUP($F$14,$M$1:$R$23,13)</f>
        <v>6</v>
      </c>
      <c r="K26" s="141" t="s">
        <v>456</v>
      </c>
      <c r="L26" s="141" t="s">
        <v>457</v>
      </c>
      <c r="M26" s="141"/>
    </row>
    <row r="27" spans="1:19" x14ac:dyDescent="0.3">
      <c r="D27" s="82" t="s">
        <v>326</v>
      </c>
      <c r="F27" s="139" t="str">
        <f>HLOOKUP($F$14,$M$1:$R$23,14)</f>
        <v>31 December</v>
      </c>
      <c r="K27" s="21">
        <v>2</v>
      </c>
      <c r="L27" s="82" t="s">
        <v>334</v>
      </c>
      <c r="M27" s="82"/>
    </row>
    <row r="28" spans="1:19" x14ac:dyDescent="0.3">
      <c r="D28" s="82" t="s">
        <v>333</v>
      </c>
      <c r="F28" s="139" t="str">
        <f>HLOOKUP($F$14,$M$1:$R$23,15)</f>
        <v>2, 5, 10, 25, 50, and 100</v>
      </c>
      <c r="K28" s="21">
        <v>5</v>
      </c>
      <c r="L28" s="82" t="s">
        <v>459</v>
      </c>
      <c r="M28" s="82"/>
    </row>
    <row r="29" spans="1:19" x14ac:dyDescent="0.3">
      <c r="D29" s="82" t="s">
        <v>388</v>
      </c>
      <c r="E29" s="119"/>
      <c r="F29" s="139" t="str">
        <f>HLOOKUP($F$14,$M$1:$R$23,17)</f>
        <v>No</v>
      </c>
      <c r="K29" s="21">
        <v>10</v>
      </c>
      <c r="L29" s="82" t="s">
        <v>460</v>
      </c>
      <c r="M29" s="82"/>
      <c r="N29" s="21"/>
    </row>
    <row r="30" spans="1:19" x14ac:dyDescent="0.3">
      <c r="D30" s="85" t="s">
        <v>396</v>
      </c>
      <c r="F30" s="119">
        <f>HLOOKUP($F$14,$M$1:$R$23,18)</f>
        <v>2</v>
      </c>
      <c r="K30" s="21">
        <v>25</v>
      </c>
      <c r="L30" s="82" t="s">
        <v>461</v>
      </c>
      <c r="M30" s="82"/>
      <c r="N30" s="21"/>
    </row>
    <row r="31" spans="1:19" x14ac:dyDescent="0.3">
      <c r="D31" s="82" t="s">
        <v>455</v>
      </c>
      <c r="F31" s="119" t="str">
        <f>HLOOKUP($F$14,$M$1:$R$23,19)</f>
        <v>2, 5, 10, 25, 50, and 100</v>
      </c>
      <c r="K31" s="21">
        <v>50</v>
      </c>
      <c r="L31" s="82" t="s">
        <v>462</v>
      </c>
      <c r="M31" s="82"/>
      <c r="N31" s="21"/>
    </row>
    <row r="32" spans="1:19" x14ac:dyDescent="0.3">
      <c r="D32" s="85" t="s">
        <v>397</v>
      </c>
      <c r="F32" s="139" t="str">
        <f>HLOOKUP($F$14,$M$1:$R$23,20)</f>
        <v>No</v>
      </c>
      <c r="K32" s="21">
        <v>100</v>
      </c>
      <c r="L32" s="82">
        <v>100</v>
      </c>
      <c r="M32" s="82"/>
      <c r="N32" s="21"/>
    </row>
    <row r="33" spans="4:13" x14ac:dyDescent="0.3">
      <c r="D33" s="85" t="s">
        <v>398</v>
      </c>
      <c r="F33" s="119">
        <f>HLOOKUP($F$14,$M$1:$R$23,21)</f>
        <v>2</v>
      </c>
    </row>
    <row r="34" spans="4:13" x14ac:dyDescent="0.3">
      <c r="D34" s="82" t="s">
        <v>463</v>
      </c>
      <c r="F34" s="119" t="str">
        <f>HLOOKUP($F$14,$M$1:$R$23,22)</f>
        <v>2, 5, 10, 25, 50, and 100</v>
      </c>
    </row>
    <row r="35" spans="4:13" x14ac:dyDescent="0.3">
      <c r="D35" s="82" t="s">
        <v>470</v>
      </c>
      <c r="E35" s="146"/>
      <c r="F35" s="146">
        <f>MIN(F30,F33)</f>
        <v>2</v>
      </c>
      <c r="L35" s="141" t="s">
        <v>458</v>
      </c>
      <c r="M35" s="141"/>
    </row>
    <row r="36" spans="4:13" x14ac:dyDescent="0.3">
      <c r="D36" s="82" t="s">
        <v>464</v>
      </c>
      <c r="E36" s="146"/>
      <c r="F36" s="141" t="str">
        <f>VLOOKUP(F35,$K$27:$L$32,2)</f>
        <v>2, 5, 10, 25, 50, and 100</v>
      </c>
      <c r="L36" s="141" t="s">
        <v>176</v>
      </c>
      <c r="M36" s="141"/>
    </row>
    <row r="37" spans="4:13" x14ac:dyDescent="0.3">
      <c r="D37" s="85" t="s">
        <v>454</v>
      </c>
      <c r="F37" s="119" t="str">
        <f>HLOOKUP($F$14,$M$1:$R$23,23)</f>
        <v>Drainage Rights</v>
      </c>
      <c r="L37" s="141" t="s">
        <v>138</v>
      </c>
      <c r="M37" s="141"/>
    </row>
    <row r="38" spans="4:13" x14ac:dyDescent="0.3">
      <c r="D38" s="85" t="s">
        <v>506</v>
      </c>
      <c r="F38" s="119" t="str">
        <f>HLOOKUP($F$14,$M$1:$R$24,24)</f>
        <v>Baldwin County</v>
      </c>
    </row>
    <row r="39" spans="4:13" x14ac:dyDescent="0.3">
      <c r="H39" s="92" t="s">
        <v>263</v>
      </c>
    </row>
    <row r="40" spans="4:13" ht="64.95" customHeight="1" x14ac:dyDescent="0.3">
      <c r="D40" s="21"/>
      <c r="E40" s="166" t="s">
        <v>499</v>
      </c>
      <c r="F40" s="21"/>
    </row>
    <row r="41" spans="4:13" ht="64.95" customHeight="1" x14ac:dyDescent="0.3">
      <c r="E41" s="82" t="s">
        <v>150</v>
      </c>
    </row>
    <row r="42" spans="4:13" ht="64.95" customHeight="1" x14ac:dyDescent="0.3">
      <c r="E42" s="82" t="s">
        <v>227</v>
      </c>
    </row>
    <row r="43" spans="4:13" ht="64.95" customHeight="1" x14ac:dyDescent="0.3">
      <c r="E43" s="82" t="s">
        <v>152</v>
      </c>
    </row>
    <row r="44" spans="4:13" ht="64.95" customHeight="1" x14ac:dyDescent="0.3">
      <c r="E44" s="82" t="s">
        <v>149</v>
      </c>
    </row>
    <row r="45" spans="4:13" ht="64.95" customHeight="1" x14ac:dyDescent="0.3">
      <c r="E45" s="82" t="s">
        <v>151</v>
      </c>
    </row>
    <row r="46" spans="4:13" ht="60" customHeight="1" x14ac:dyDescent="0.3"/>
  </sheetData>
  <mergeCells count="1">
    <mergeCell ref="A1:B1"/>
  </mergeCells>
  <dataValidations count="3">
    <dataValidation type="list" allowBlank="1" showInputMessage="1" showErrorMessage="1" sqref="F14" xr:uid="{58E92772-55BE-4B52-9E17-5AC0792DBE69}">
      <formula1>$M$1:$R$1</formula1>
    </dataValidation>
    <dataValidation type="list" allowBlank="1" showInputMessage="1" showErrorMessage="1" sqref="M17:R17 M20:R20" xr:uid="{3FCB7BE3-7E01-42FB-BD93-3A84946A90A3}">
      <formula1>$L$36:$L$37</formula1>
    </dataValidation>
    <dataValidation type="list" allowBlank="1" showInputMessage="1" showErrorMessage="1" sqref="M18:R18 M21:R21" xr:uid="{CFC242ED-38A7-4230-BCFF-2AC3B33114D8}">
      <formula1>$K$27:$K$32</formula1>
    </dataValidation>
  </dataValidations>
  <pageMargins left="0.7" right="0.7" top="0.75" bottom="0.75" header="0.3" footer="0.3"/>
  <pageSetup orientation="portrait" horizontalDpi="1200" verticalDpi="1200" r:id="rId1"/>
  <drawing r:id="rId2"/>
  <legacyDrawing r:id="rId3"/>
  <tableParts count="8">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5DDE-A060-454D-A732-9341AEEC9B54}">
  <sheetPr codeName="Sheet7">
    <tabColor theme="2" tint="-0.499984740745262"/>
    <pageSetUpPr fitToPage="1"/>
  </sheetPr>
  <dimension ref="A1:U110"/>
  <sheetViews>
    <sheetView showGridLines="0" showRowColHeaders="0" tabSelected="1" topLeftCell="B1" zoomScale="130" zoomScaleNormal="130" workbookViewId="0">
      <pane ySplit="3" topLeftCell="A5" activePane="bottomLeft" state="frozen"/>
      <selection pane="bottomLeft" activeCell="F2" sqref="F2"/>
    </sheetView>
  </sheetViews>
  <sheetFormatPr defaultColWidth="0" defaultRowHeight="0" customHeight="1" zeroHeight="1" x14ac:dyDescent="0.3"/>
  <cols>
    <col min="1" max="1" width="8.88671875" style="163" hidden="1" customWidth="1"/>
    <col min="2" max="2" width="2.77734375" style="72" customWidth="1"/>
    <col min="3" max="3" width="5.77734375" style="71" customWidth="1"/>
    <col min="4" max="4" width="24.77734375" style="71" customWidth="1"/>
    <col min="5" max="5" width="8.88671875" style="72" customWidth="1"/>
    <col min="6" max="6" width="20.77734375" style="72" customWidth="1"/>
    <col min="7" max="15" width="8.88671875" style="72" customWidth="1"/>
    <col min="16" max="16" width="8.88671875" customWidth="1"/>
    <col min="17" max="21" width="8.88671875" style="72" customWidth="1"/>
    <col min="22" max="16384" width="8.88671875" style="72" hidden="1"/>
  </cols>
  <sheetData>
    <row r="1" spans="1:18" ht="19.95" customHeight="1" x14ac:dyDescent="0.3">
      <c r="C1" s="73" t="s">
        <v>537</v>
      </c>
      <c r="D1" s="73"/>
      <c r="N1" s="162" t="s">
        <v>500</v>
      </c>
      <c r="O1" s="177">
        <f>Tables!F13</f>
        <v>45931</v>
      </c>
      <c r="P1" s="177"/>
    </row>
    <row r="2" spans="1:18" ht="19.95" customHeight="1" x14ac:dyDescent="0.3">
      <c r="A2" s="164">
        <f>IF(OR(F2="I ACCEPT",F2="I DO NOT ACCEPT"),1,2)</f>
        <v>2</v>
      </c>
      <c r="E2" s="162" t="s">
        <v>501</v>
      </c>
      <c r="F2" s="167" t="s">
        <v>496</v>
      </c>
      <c r="N2" s="162" t="s">
        <v>502</v>
      </c>
      <c r="O2" s="177">
        <f>Tables!B6</f>
        <v>46296</v>
      </c>
      <c r="P2" s="177"/>
    </row>
    <row r="3" spans="1:18" ht="19.95" customHeight="1" x14ac:dyDescent="0.3">
      <c r="A3" s="164">
        <f ca="1">IF(F3="Workbook is Locked and Unavailable",2,1)</f>
        <v>2</v>
      </c>
      <c r="E3" s="162" t="s">
        <v>504</v>
      </c>
      <c r="F3" s="178" t="str">
        <f ca="1">IF(Tables!$B$8,"Workbook is Active","Workbook is Locked and Unavailable")</f>
        <v>Workbook is Locked and Unavailable</v>
      </c>
      <c r="G3" s="178"/>
      <c r="H3" s="178"/>
    </row>
    <row r="4" spans="1:18" ht="19.95" hidden="1" customHeight="1" x14ac:dyDescent="0.3">
      <c r="B4" s="163"/>
      <c r="C4" s="165"/>
      <c r="D4" s="165"/>
      <c r="E4" s="172" t="s">
        <v>505</v>
      </c>
      <c r="F4" s="93"/>
      <c r="G4" s="163"/>
      <c r="H4" s="163"/>
      <c r="I4" s="163"/>
      <c r="J4" s="163"/>
      <c r="K4" s="163"/>
      <c r="L4" s="163"/>
      <c r="M4" s="163"/>
      <c r="N4" s="163"/>
      <c r="O4" s="163"/>
      <c r="P4" s="163"/>
      <c r="Q4" s="163"/>
      <c r="R4" s="163"/>
    </row>
    <row r="5" spans="1:18" ht="19.95" customHeight="1" x14ac:dyDescent="0.3">
      <c r="P5" s="72"/>
    </row>
    <row r="6" spans="1:18" ht="19.95" customHeight="1" x14ac:dyDescent="0.3">
      <c r="D6" s="168"/>
      <c r="E6" s="168" t="s">
        <v>503</v>
      </c>
      <c r="F6" s="72" t="s">
        <v>562</v>
      </c>
      <c r="P6" s="72"/>
    </row>
    <row r="7" spans="1:18" ht="19.95" customHeight="1" x14ac:dyDescent="0.3">
      <c r="D7" s="168"/>
      <c r="E7" s="169"/>
      <c r="F7" s="72" t="str">
        <f>"By clicking I ACCEPT above, you represent that you are (a) preparing a post-construction submittal for "&amp;Tables!$F$38&amp;" and/or"</f>
        <v>By clicking I ACCEPT above, you represent that you are (a) preparing a post-construction submittal for Baldwin County and/or</v>
      </c>
      <c r="P7" s="72"/>
    </row>
    <row r="8" spans="1:18" ht="19.95" customHeight="1" x14ac:dyDescent="0.3">
      <c r="D8" s="168"/>
      <c r="E8" s="169"/>
      <c r="F8" s="72" t="s">
        <v>561</v>
      </c>
      <c r="P8" s="72"/>
    </row>
    <row r="9" spans="1:18" ht="19.95" customHeight="1" x14ac:dyDescent="0.3">
      <c r="D9" s="168"/>
      <c r="E9" s="169"/>
      <c r="F9" s="72" t="s">
        <v>538</v>
      </c>
      <c r="P9" s="72"/>
    </row>
    <row r="10" spans="1:18" ht="19.95" customHeight="1" x14ac:dyDescent="0.3">
      <c r="D10" s="168"/>
      <c r="E10" s="169"/>
      <c r="P10" s="72"/>
    </row>
    <row r="11" spans="1:18" ht="19.95" customHeight="1" x14ac:dyDescent="0.3">
      <c r="D11" s="168">
        <v>1</v>
      </c>
      <c r="E11" s="5" t="s">
        <v>539</v>
      </c>
      <c r="P11" s="72"/>
    </row>
    <row r="12" spans="1:18" ht="19.95" customHeight="1" x14ac:dyDescent="0.3">
      <c r="D12" s="168"/>
      <c r="E12" s="169"/>
      <c r="F12" s="72" t="s">
        <v>512</v>
      </c>
      <c r="P12" s="72"/>
    </row>
    <row r="13" spans="1:18" ht="19.95" customHeight="1" x14ac:dyDescent="0.3">
      <c r="D13" s="168"/>
      <c r="E13" s="169"/>
      <c r="F13" s="72" t="str">
        <f>"and submit post-construction application materials to "&amp;Tables!$F$38&amp;" and for the User's internal recordkeeping for those"</f>
        <v>and submit post-construction application materials to Baldwin County and for the User's internal recordkeeping for those</v>
      </c>
      <c r="P13" s="72"/>
    </row>
    <row r="14" spans="1:18" ht="19.95" customHeight="1" x14ac:dyDescent="0.3">
      <c r="D14" s="168"/>
      <c r="E14" s="169"/>
      <c r="F14" s="72" t="s">
        <v>513</v>
      </c>
      <c r="P14" s="72"/>
    </row>
    <row r="15" spans="1:18" ht="19.95" customHeight="1" x14ac:dyDescent="0.3">
      <c r="D15" s="168"/>
      <c r="E15" s="169"/>
      <c r="F15" s="72" t="s">
        <v>540</v>
      </c>
      <c r="P15" s="72"/>
    </row>
    <row r="16" spans="1:18" ht="19.95" customHeight="1" x14ac:dyDescent="0.3">
      <c r="D16" s="168">
        <v>2</v>
      </c>
      <c r="E16" s="5" t="s">
        <v>514</v>
      </c>
      <c r="P16" s="72"/>
    </row>
    <row r="17" spans="4:16" ht="19.95" customHeight="1" x14ac:dyDescent="0.3">
      <c r="D17" s="168"/>
      <c r="E17" s="169"/>
      <c r="F17" s="72" t="s">
        <v>515</v>
      </c>
      <c r="P17" s="72"/>
    </row>
    <row r="18" spans="4:16" ht="19.95" customHeight="1" x14ac:dyDescent="0.3">
      <c r="D18" s="168"/>
      <c r="E18" s="169"/>
      <c r="F18" s="72" t="s">
        <v>516</v>
      </c>
      <c r="P18" s="72"/>
    </row>
    <row r="19" spans="4:16" ht="19.95" customHeight="1" x14ac:dyDescent="0.3">
      <c r="D19" s="168">
        <v>3</v>
      </c>
      <c r="E19" s="169" t="s">
        <v>517</v>
      </c>
      <c r="P19" s="72"/>
    </row>
    <row r="20" spans="4:16" ht="19.95" customHeight="1" x14ac:dyDescent="0.3">
      <c r="D20" s="168"/>
      <c r="E20" s="169"/>
      <c r="F20" s="72" t="s">
        <v>526</v>
      </c>
      <c r="P20" s="72"/>
    </row>
    <row r="21" spans="4:16" ht="19.95" customHeight="1" x14ac:dyDescent="0.3">
      <c r="D21" s="168"/>
      <c r="E21" s="169"/>
      <c r="F21" s="72" t="s">
        <v>541</v>
      </c>
      <c r="P21" s="72"/>
    </row>
    <row r="22" spans="4:16" ht="19.95" customHeight="1" x14ac:dyDescent="0.3">
      <c r="D22" s="168"/>
      <c r="E22" s="169"/>
      <c r="F22" s="72" t="str">
        <f>"forms to the "&amp;Tables!$F$23&amp;" as intended.  The "&amp;Tables!$F$23&amp;" may host and distribute the unmodified Tool to prospective submitters for"</f>
        <v>forms to the County as intended.  The County may host and distribute the unmodified Tool to prospective submitters for</v>
      </c>
      <c r="P22" s="72"/>
    </row>
    <row r="23" spans="4:16" ht="19.95" customHeight="1" x14ac:dyDescent="0.3">
      <c r="D23" s="168"/>
      <c r="E23" s="169"/>
      <c r="F23" s="72" t="s">
        <v>542</v>
      </c>
      <c r="P23" s="72"/>
    </row>
    <row r="24" spans="4:16" ht="19.95" customHeight="1" x14ac:dyDescent="0.3">
      <c r="D24" s="168">
        <v>4</v>
      </c>
      <c r="E24" s="169" t="s">
        <v>518</v>
      </c>
      <c r="P24" s="72"/>
    </row>
    <row r="25" spans="4:16" ht="19.95" customHeight="1" x14ac:dyDescent="0.3">
      <c r="D25" s="168"/>
      <c r="E25" s="169"/>
      <c r="F25" s="72" t="s">
        <v>527</v>
      </c>
      <c r="P25" s="72"/>
    </row>
    <row r="26" spans="4:16" ht="19.95" customHeight="1" x14ac:dyDescent="0.3">
      <c r="D26" s="168"/>
      <c r="E26" s="169"/>
      <c r="F26" s="72" t="s">
        <v>543</v>
      </c>
      <c r="P26" s="72"/>
    </row>
    <row r="27" spans="4:16" ht="19.95" customHeight="1" x14ac:dyDescent="0.3">
      <c r="D27" s="168"/>
      <c r="E27" s="169"/>
      <c r="F27" s="72" t="s">
        <v>544</v>
      </c>
      <c r="P27" s="72"/>
    </row>
    <row r="28" spans="4:16" ht="19.95" customHeight="1" x14ac:dyDescent="0.3">
      <c r="D28" s="168">
        <v>5</v>
      </c>
      <c r="E28" s="169" t="s">
        <v>519</v>
      </c>
      <c r="P28" s="72"/>
    </row>
    <row r="29" spans="4:16" ht="19.95" customHeight="1" x14ac:dyDescent="0.3">
      <c r="D29" s="168"/>
      <c r="E29" s="169"/>
      <c r="F29" s="72" t="str">
        <f>"Outputs and application materials generated with the Tool may be public records of "&amp;Tables!$F$38&amp;"; the Tool itself"</f>
        <v>Outputs and application materials generated with the Tool may be public records of Baldwin County; the Tool itself</v>
      </c>
      <c r="P29" s="72"/>
    </row>
    <row r="30" spans="4:16" ht="19.95" customHeight="1" x14ac:dyDescent="0.3">
      <c r="D30" s="168"/>
      <c r="E30" s="169"/>
      <c r="F30" s="72" t="s">
        <v>545</v>
      </c>
      <c r="P30" s="72"/>
    </row>
    <row r="31" spans="4:16" ht="19.95" customHeight="1" x14ac:dyDescent="0.3">
      <c r="D31" s="168">
        <v>6</v>
      </c>
      <c r="E31" s="169" t="s">
        <v>546</v>
      </c>
      <c r="P31" s="72"/>
    </row>
    <row r="32" spans="4:16" ht="19.95" customHeight="1" x14ac:dyDescent="0.3">
      <c r="D32" s="168"/>
      <c r="E32" s="169"/>
      <c r="F32" s="72" t="str">
        <f>"The Tool is a convenience aid and does not constitute engineering, legal or compliance advice. The "&amp;Tables!$F$38&amp;"'s standards and"</f>
        <v>The Tool is a convenience aid and does not constitute engineering, legal or compliance advice. The Baldwin County's standards and</v>
      </c>
      <c r="P32" s="72"/>
    </row>
    <row r="33" spans="4:16" ht="19.95" customHeight="1" x14ac:dyDescent="0.3">
      <c r="D33" s="168"/>
      <c r="E33" s="169"/>
      <c r="F33" s="72" t="s">
        <v>547</v>
      </c>
      <c r="P33" s="72"/>
    </row>
    <row r="34" spans="4:16" ht="19.95" customHeight="1" x14ac:dyDescent="0.3">
      <c r="D34" s="168">
        <v>7</v>
      </c>
      <c r="E34" s="169" t="s">
        <v>520</v>
      </c>
      <c r="P34" s="72"/>
    </row>
    <row r="35" spans="4:16" ht="19.95" customHeight="1" x14ac:dyDescent="0.3">
      <c r="D35" s="168"/>
      <c r="E35" s="169"/>
      <c r="F35" s="72" t="s">
        <v>548</v>
      </c>
      <c r="P35" s="72"/>
    </row>
    <row r="36" spans="4:16" ht="19.95" customHeight="1" x14ac:dyDescent="0.3">
      <c r="D36" s="168"/>
      <c r="E36" s="169"/>
      <c r="F36" s="72" t="s">
        <v>549</v>
      </c>
      <c r="P36" s="72"/>
    </row>
    <row r="37" spans="4:16" ht="19.95" customHeight="1" x14ac:dyDescent="0.3">
      <c r="D37" s="168"/>
      <c r="E37" s="169"/>
      <c r="F37" s="72" t="s">
        <v>528</v>
      </c>
      <c r="P37" s="72"/>
    </row>
    <row r="38" spans="4:16" ht="19.95" customHeight="1" x14ac:dyDescent="0.3">
      <c r="D38" s="168">
        <v>8</v>
      </c>
      <c r="E38" s="169" t="s">
        <v>521</v>
      </c>
      <c r="P38" s="72"/>
    </row>
    <row r="39" spans="4:16" ht="19.95" customHeight="1" x14ac:dyDescent="0.3">
      <c r="D39" s="168"/>
      <c r="E39" s="169"/>
      <c r="F39" s="72" t="s">
        <v>522</v>
      </c>
      <c r="P39" s="72"/>
    </row>
    <row r="40" spans="4:16" ht="19.95" customHeight="1" x14ac:dyDescent="0.3">
      <c r="D40" s="168"/>
      <c r="E40" s="169"/>
      <c r="F40" s="72" t="s">
        <v>523</v>
      </c>
      <c r="P40" s="72"/>
    </row>
    <row r="41" spans="4:16" ht="19.95" customHeight="1" x14ac:dyDescent="0.3">
      <c r="D41" s="168">
        <v>9</v>
      </c>
      <c r="E41" s="169" t="s">
        <v>550</v>
      </c>
      <c r="P41" s="72"/>
    </row>
    <row r="42" spans="4:16" ht="19.95" customHeight="1" x14ac:dyDescent="0.3">
      <c r="D42" s="168"/>
      <c r="E42" s="169"/>
      <c r="F42" s="72" t="s">
        <v>551</v>
      </c>
      <c r="P42" s="72"/>
    </row>
    <row r="43" spans="4:16" ht="19.95" customHeight="1" x14ac:dyDescent="0.3">
      <c r="D43" s="168">
        <v>10</v>
      </c>
      <c r="E43" s="169" t="s">
        <v>552</v>
      </c>
      <c r="P43" s="72"/>
    </row>
    <row r="44" spans="4:16" ht="19.95" customHeight="1" x14ac:dyDescent="0.3">
      <c r="D44" s="168"/>
      <c r="E44" s="169"/>
      <c r="F44" s="72" t="s">
        <v>553</v>
      </c>
      <c r="P44" s="72"/>
    </row>
    <row r="45" spans="4:16" ht="19.95" customHeight="1" x14ac:dyDescent="0.3">
      <c r="D45" s="168"/>
      <c r="E45" s="169"/>
      <c r="F45" s="72" t="s">
        <v>554</v>
      </c>
      <c r="P45" s="72"/>
    </row>
    <row r="46" spans="4:16" ht="19.95" customHeight="1" x14ac:dyDescent="0.3">
      <c r="D46" s="168">
        <v>11</v>
      </c>
      <c r="E46" s="169" t="s">
        <v>555</v>
      </c>
      <c r="P46" s="72"/>
    </row>
    <row r="47" spans="4:16" ht="19.95" customHeight="1" x14ac:dyDescent="0.3">
      <c r="D47" s="168"/>
      <c r="E47" s="169"/>
      <c r="F47" s="72" t="s">
        <v>556</v>
      </c>
      <c r="P47" s="72"/>
    </row>
    <row r="48" spans="4:16" ht="19.95" customHeight="1" x14ac:dyDescent="0.3">
      <c r="D48" s="168"/>
      <c r="E48" s="169"/>
      <c r="F48" s="72" t="s">
        <v>557</v>
      </c>
      <c r="P48" s="72"/>
    </row>
    <row r="49" spans="4:16" ht="19.95" customHeight="1" x14ac:dyDescent="0.3">
      <c r="D49" s="168"/>
      <c r="E49" s="169"/>
      <c r="F49" s="72" t="s">
        <v>558</v>
      </c>
      <c r="P49" s="72"/>
    </row>
    <row r="50" spans="4:16" ht="19.95" customHeight="1" x14ac:dyDescent="0.3">
      <c r="D50" s="168"/>
      <c r="E50" s="169"/>
      <c r="F50" s="72" t="s">
        <v>559</v>
      </c>
      <c r="P50" s="72"/>
    </row>
    <row r="51" spans="4:16" ht="19.95" customHeight="1" x14ac:dyDescent="0.3">
      <c r="D51" s="168">
        <v>12</v>
      </c>
      <c r="E51" s="169" t="s">
        <v>524</v>
      </c>
      <c r="P51" s="72"/>
    </row>
    <row r="52" spans="4:16" ht="19.95" customHeight="1" x14ac:dyDescent="0.3">
      <c r="D52" s="168"/>
      <c r="E52" s="169"/>
      <c r="F52" s="72" t="s">
        <v>560</v>
      </c>
      <c r="P52" s="72"/>
    </row>
    <row r="53" spans="4:16" ht="19.95" customHeight="1" x14ac:dyDescent="0.3">
      <c r="D53" s="168"/>
      <c r="E53" s="169"/>
      <c r="P53" s="72"/>
    </row>
    <row r="54" spans="4:16" ht="19.95" customHeight="1" x14ac:dyDescent="0.3">
      <c r="D54" s="168"/>
      <c r="E54" s="169"/>
      <c r="P54" s="72"/>
    </row>
    <row r="55" spans="4:16" ht="19.95" customHeight="1" x14ac:dyDescent="0.3">
      <c r="D55" s="168"/>
      <c r="E55" s="169"/>
      <c r="P55" s="72"/>
    </row>
    <row r="56" spans="4:16" ht="19.95" customHeight="1" x14ac:dyDescent="0.3">
      <c r="D56" s="168"/>
      <c r="E56" s="169"/>
      <c r="P56" s="72"/>
    </row>
    <row r="57" spans="4:16" ht="19.95" customHeight="1" x14ac:dyDescent="0.3">
      <c r="D57" s="168"/>
      <c r="E57" s="169"/>
      <c r="P57" s="72"/>
    </row>
    <row r="58" spans="4:16" ht="19.95" customHeight="1" x14ac:dyDescent="0.3">
      <c r="D58" s="168"/>
      <c r="E58" s="169"/>
      <c r="P58" s="72"/>
    </row>
    <row r="59" spans="4:16" ht="19.95" customHeight="1" x14ac:dyDescent="0.3">
      <c r="D59" s="168"/>
      <c r="E59" s="169"/>
      <c r="P59" s="72"/>
    </row>
    <row r="60" spans="4:16" ht="19.95" customHeight="1" x14ac:dyDescent="0.3">
      <c r="D60" s="168"/>
      <c r="E60" s="169"/>
      <c r="P60" s="72"/>
    </row>
    <row r="61" spans="4:16" ht="19.95" customHeight="1" x14ac:dyDescent="0.3">
      <c r="D61" s="168"/>
      <c r="E61" s="169"/>
      <c r="P61" s="72"/>
    </row>
    <row r="62" spans="4:16" ht="0" hidden="1" customHeight="1" x14ac:dyDescent="0.3">
      <c r="D62" s="168"/>
      <c r="E62" s="169"/>
      <c r="P62" s="72"/>
    </row>
    <row r="63" spans="4:16" ht="0" hidden="1" customHeight="1" x14ac:dyDescent="0.3">
      <c r="D63" s="168"/>
      <c r="E63" s="169"/>
      <c r="P63" s="72"/>
    </row>
    <row r="64" spans="4:16" ht="0" hidden="1" customHeight="1" x14ac:dyDescent="0.3">
      <c r="D64" s="168"/>
      <c r="E64" s="169"/>
      <c r="P64" s="72"/>
    </row>
    <row r="65" spans="4:16" ht="0" hidden="1" customHeight="1" x14ac:dyDescent="0.3">
      <c r="D65" s="168"/>
      <c r="E65" s="169"/>
      <c r="P65" s="72"/>
    </row>
    <row r="66" spans="4:16" ht="0" hidden="1" customHeight="1" x14ac:dyDescent="0.3">
      <c r="D66" s="168"/>
      <c r="E66" s="169"/>
      <c r="P66" s="72"/>
    </row>
    <row r="67" spans="4:16" ht="0" hidden="1" customHeight="1" x14ac:dyDescent="0.3">
      <c r="D67" s="168"/>
      <c r="E67" s="169"/>
      <c r="P67" s="72"/>
    </row>
    <row r="68" spans="4:16" ht="0" hidden="1" customHeight="1" x14ac:dyDescent="0.3">
      <c r="D68" s="168"/>
      <c r="E68" s="169"/>
      <c r="P68" s="72"/>
    </row>
    <row r="69" spans="4:16" ht="0" hidden="1" customHeight="1" x14ac:dyDescent="0.3">
      <c r="D69" s="168"/>
      <c r="E69" s="169"/>
      <c r="P69" s="72"/>
    </row>
    <row r="70" spans="4:16" ht="0" hidden="1" customHeight="1" x14ac:dyDescent="0.3">
      <c r="D70" s="168"/>
      <c r="E70" s="169"/>
      <c r="P70" s="72"/>
    </row>
    <row r="71" spans="4:16" ht="0" hidden="1" customHeight="1" x14ac:dyDescent="0.3">
      <c r="D71" s="168"/>
      <c r="E71" s="169"/>
      <c r="P71" s="72"/>
    </row>
    <row r="72" spans="4:16" ht="0" hidden="1" customHeight="1" x14ac:dyDescent="0.3">
      <c r="D72" s="168"/>
      <c r="E72" s="169"/>
      <c r="P72" s="72"/>
    </row>
    <row r="73" spans="4:16" ht="0" hidden="1" customHeight="1" x14ac:dyDescent="0.3">
      <c r="D73" s="168"/>
      <c r="E73" s="169"/>
      <c r="P73" s="72"/>
    </row>
    <row r="74" spans="4:16" ht="0" hidden="1" customHeight="1" x14ac:dyDescent="0.3">
      <c r="D74" s="168"/>
      <c r="E74" s="169"/>
      <c r="P74" s="72"/>
    </row>
    <row r="75" spans="4:16" ht="0" hidden="1" customHeight="1" x14ac:dyDescent="0.3">
      <c r="D75" s="168"/>
      <c r="E75" s="169"/>
      <c r="F75" s="170"/>
      <c r="P75" s="72"/>
    </row>
    <row r="76" spans="4:16" ht="0" hidden="1" customHeight="1" x14ac:dyDescent="0.3">
      <c r="D76" s="168"/>
      <c r="E76" s="169"/>
      <c r="F76" s="170"/>
      <c r="P76" s="72"/>
    </row>
    <row r="77" spans="4:16" ht="0" hidden="1" customHeight="1" x14ac:dyDescent="0.3">
      <c r="D77" s="168"/>
      <c r="E77" s="169"/>
      <c r="F77" s="171"/>
      <c r="P77" s="72"/>
    </row>
    <row r="78" spans="4:16" ht="0" hidden="1" customHeight="1" x14ac:dyDescent="0.3">
      <c r="D78" s="168"/>
      <c r="E78" s="169"/>
      <c r="P78" s="72"/>
    </row>
    <row r="79" spans="4:16" ht="0" hidden="1" customHeight="1" x14ac:dyDescent="0.3">
      <c r="D79" s="168"/>
      <c r="E79" s="169"/>
      <c r="P79" s="72"/>
    </row>
    <row r="80" spans="4:16" ht="0" hidden="1" customHeight="1" x14ac:dyDescent="0.3">
      <c r="D80" s="168"/>
      <c r="E80" s="169"/>
      <c r="P80" s="72"/>
    </row>
    <row r="81" spans="4:16" ht="0" hidden="1" customHeight="1" x14ac:dyDescent="0.3">
      <c r="D81" s="168"/>
      <c r="E81" s="169"/>
      <c r="P81" s="72"/>
    </row>
    <row r="82" spans="4:16" ht="0" hidden="1" customHeight="1" x14ac:dyDescent="0.3">
      <c r="D82" s="168"/>
      <c r="E82" s="169"/>
      <c r="P82" s="72"/>
    </row>
    <row r="83" spans="4:16" ht="0" hidden="1" customHeight="1" x14ac:dyDescent="0.3">
      <c r="D83" s="168"/>
      <c r="E83" s="169"/>
      <c r="P83" s="72"/>
    </row>
    <row r="84" spans="4:16" ht="0" hidden="1" customHeight="1" x14ac:dyDescent="0.3">
      <c r="D84" s="168"/>
      <c r="E84" s="169"/>
      <c r="P84" s="72"/>
    </row>
    <row r="85" spans="4:16" ht="0" hidden="1" customHeight="1" x14ac:dyDescent="0.3">
      <c r="D85" s="168"/>
      <c r="E85" s="169"/>
      <c r="P85" s="72"/>
    </row>
    <row r="86" spans="4:16" ht="0" hidden="1" customHeight="1" x14ac:dyDescent="0.3">
      <c r="D86" s="168"/>
      <c r="E86" s="169"/>
      <c r="P86" s="72"/>
    </row>
    <row r="87" spans="4:16" ht="0" hidden="1" customHeight="1" x14ac:dyDescent="0.3">
      <c r="D87" s="168"/>
      <c r="E87" s="169"/>
      <c r="P87" s="72"/>
    </row>
    <row r="88" spans="4:16" ht="0" hidden="1" customHeight="1" x14ac:dyDescent="0.3">
      <c r="D88" s="168"/>
      <c r="E88" s="169"/>
      <c r="P88" s="72"/>
    </row>
    <row r="89" spans="4:16" ht="0" hidden="1" customHeight="1" x14ac:dyDescent="0.3">
      <c r="D89" s="168"/>
      <c r="E89" s="169"/>
      <c r="P89" s="72"/>
    </row>
    <row r="90" spans="4:16" ht="0" hidden="1" customHeight="1" x14ac:dyDescent="0.3">
      <c r="D90" s="168"/>
      <c r="E90" s="169"/>
      <c r="P90" s="72"/>
    </row>
    <row r="91" spans="4:16" ht="0" hidden="1" customHeight="1" x14ac:dyDescent="0.3">
      <c r="D91" s="168"/>
      <c r="E91" s="169"/>
      <c r="P91" s="72"/>
    </row>
    <row r="92" spans="4:16" ht="0" hidden="1" customHeight="1" x14ac:dyDescent="0.3">
      <c r="D92" s="168"/>
      <c r="E92" s="169"/>
      <c r="P92" s="72"/>
    </row>
    <row r="93" spans="4:16" ht="0" hidden="1" customHeight="1" x14ac:dyDescent="0.3">
      <c r="D93" s="168"/>
      <c r="E93" s="169"/>
      <c r="P93" s="72"/>
    </row>
    <row r="94" spans="4:16" ht="0" hidden="1" customHeight="1" x14ac:dyDescent="0.3">
      <c r="D94" s="168"/>
      <c r="E94" s="169"/>
      <c r="P94" s="72"/>
    </row>
    <row r="95" spans="4:16" ht="0" hidden="1" customHeight="1" x14ac:dyDescent="0.3">
      <c r="D95" s="168"/>
      <c r="E95" s="169"/>
      <c r="P95" s="72"/>
    </row>
    <row r="96" spans="4:16" ht="0" hidden="1" customHeight="1" x14ac:dyDescent="0.3">
      <c r="D96" s="168"/>
      <c r="E96" s="169"/>
      <c r="P96" s="72"/>
    </row>
    <row r="97" spans="4:16" ht="0" hidden="1" customHeight="1" x14ac:dyDescent="0.3">
      <c r="D97" s="168"/>
      <c r="E97" s="169"/>
      <c r="P97" s="72"/>
    </row>
    <row r="98" spans="4:16" ht="0" hidden="1" customHeight="1" x14ac:dyDescent="0.3">
      <c r="D98" s="168"/>
      <c r="E98" s="169"/>
      <c r="P98" s="72"/>
    </row>
    <row r="99" spans="4:16" ht="0" hidden="1" customHeight="1" x14ac:dyDescent="0.3">
      <c r="D99" s="168"/>
      <c r="E99" s="169"/>
      <c r="P99" s="72"/>
    </row>
    <row r="100" spans="4:16" ht="0" hidden="1" customHeight="1" x14ac:dyDescent="0.3">
      <c r="P100" s="72"/>
    </row>
    <row r="101" spans="4:16" ht="0" hidden="1" customHeight="1" x14ac:dyDescent="0.3">
      <c r="P101" s="72"/>
    </row>
    <row r="102" spans="4:16" ht="0" hidden="1" customHeight="1" x14ac:dyDescent="0.3">
      <c r="P102" s="72"/>
    </row>
    <row r="103" spans="4:16" ht="0" hidden="1" customHeight="1" x14ac:dyDescent="0.3">
      <c r="P103" s="72"/>
    </row>
    <row r="104" spans="4:16" ht="0" hidden="1" customHeight="1" x14ac:dyDescent="0.3">
      <c r="P104" s="72"/>
    </row>
    <row r="105" spans="4:16" ht="0" hidden="1" customHeight="1" x14ac:dyDescent="0.3">
      <c r="P105" s="72"/>
    </row>
    <row r="106" spans="4:16" ht="0" hidden="1" customHeight="1" x14ac:dyDescent="0.3">
      <c r="P106" s="72"/>
    </row>
    <row r="107" spans="4:16" ht="0" hidden="1" customHeight="1" x14ac:dyDescent="0.3">
      <c r="P107" s="72"/>
    </row>
    <row r="108" spans="4:16" ht="0" hidden="1" customHeight="1" x14ac:dyDescent="0.3">
      <c r="P108" s="72"/>
    </row>
    <row r="109" spans="4:16" ht="0" hidden="1" customHeight="1" x14ac:dyDescent="0.3">
      <c r="P109" s="72"/>
    </row>
    <row r="110" spans="4:16" ht="0" hidden="1" customHeight="1" x14ac:dyDescent="0.3">
      <c r="P110" s="72"/>
    </row>
  </sheetData>
  <sheetProtection algorithmName="SHA-512" hashValue="UyNT78QdEthDu2OrSwXo5/0Z4Ti2kDE2xscuP8rhDld3iuFGzcr8QlWj0NBnVwgAuTysiQF47VOz2ibrjxpurg==" saltValue="WV0QHXZChvjSYytTFvJbEA==" spinCount="100000" sheet="1" objects="1" scenarios="1" selectLockedCells="1"/>
  <mergeCells count="3">
    <mergeCell ref="O1:P1"/>
    <mergeCell ref="O2:P2"/>
    <mergeCell ref="F3:H3"/>
  </mergeCells>
  <conditionalFormatting sqref="F2">
    <cfRule type="expression" dxfId="375" priority="1366">
      <formula>$A$2=2</formula>
    </cfRule>
  </conditionalFormatting>
  <conditionalFormatting sqref="F3:H3">
    <cfRule type="expression" dxfId="374" priority="1367">
      <formula>$A$3=2</formula>
    </cfRule>
    <cfRule type="expression" dxfId="373" priority="1368">
      <formula>$A$3=2</formula>
    </cfRule>
  </conditionalFormatting>
  <pageMargins left="0.2" right="0.2" top="0.5" bottom="0.25" header="0.3" footer="0.3"/>
  <pageSetup scale="6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02ABC37-79B9-4CA4-8B6B-3283293639D4}">
          <x14:formula1>
            <xm:f>Tables!$B$12:$B$14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B3C9-EB7F-47E9-8EB8-12261128766F}">
  <sheetPr codeName="Sheet1">
    <tabColor theme="2" tint="-0.499984740745262"/>
    <pageSetUpPr fitToPage="1"/>
  </sheetPr>
  <dimension ref="B1:Q57"/>
  <sheetViews>
    <sheetView showGridLines="0" showRowColHeaders="0" zoomScale="130" zoomScaleNormal="130" workbookViewId="0"/>
  </sheetViews>
  <sheetFormatPr defaultColWidth="8.88671875" defaultRowHeight="0" customHeight="1" zeroHeight="1" x14ac:dyDescent="0.3"/>
  <cols>
    <col min="1" max="1" width="2.77734375" style="72" customWidth="1"/>
    <col min="2" max="2" width="5.77734375" style="71" customWidth="1"/>
    <col min="3" max="8" width="2.77734375" style="72" customWidth="1"/>
    <col min="9" max="10" width="8.88671875" style="72" customWidth="1"/>
    <col min="11" max="11" width="20.77734375" style="72" customWidth="1"/>
    <col min="12" max="22" width="8.88671875" style="72" customWidth="1"/>
    <col min="23" max="16384" width="8.88671875" style="72"/>
  </cols>
  <sheetData>
    <row r="1" spans="2:17" ht="19.95" customHeight="1" x14ac:dyDescent="0.3"/>
    <row r="2" spans="2:17" ht="19.95" customHeight="1" x14ac:dyDescent="0.3">
      <c r="B2" s="73" t="s">
        <v>61</v>
      </c>
    </row>
    <row r="3" spans="2:17" ht="4.95" customHeight="1" x14ac:dyDescent="0.3">
      <c r="B3" s="73"/>
    </row>
    <row r="4" spans="2:17" ht="19.95" customHeight="1" x14ac:dyDescent="0.3">
      <c r="B4" s="71">
        <v>1</v>
      </c>
      <c r="C4" s="180" t="s">
        <v>287</v>
      </c>
      <c r="D4" s="180"/>
      <c r="E4" s="180"/>
      <c r="F4" s="180"/>
      <c r="G4" s="180"/>
      <c r="H4" s="180"/>
      <c r="I4" s="180"/>
      <c r="J4" s="180"/>
      <c r="K4" s="180"/>
      <c r="L4" s="180"/>
      <c r="M4" s="180"/>
      <c r="N4" s="180"/>
      <c r="O4" s="180"/>
      <c r="P4" s="180"/>
      <c r="Q4" s="180"/>
    </row>
    <row r="5" spans="2:17" ht="19.95" customHeight="1" x14ac:dyDescent="0.3">
      <c r="C5" s="180"/>
      <c r="D5" s="180"/>
      <c r="E5" s="180"/>
      <c r="F5" s="180"/>
      <c r="G5" s="180"/>
      <c r="H5" s="180"/>
      <c r="I5" s="180"/>
      <c r="J5" s="180"/>
      <c r="K5" s="180"/>
      <c r="L5" s="180"/>
      <c r="M5" s="180"/>
      <c r="N5" s="180"/>
      <c r="O5" s="180"/>
      <c r="P5" s="180"/>
      <c r="Q5" s="180"/>
    </row>
    <row r="6" spans="2:17" ht="19.95" customHeight="1" x14ac:dyDescent="0.3">
      <c r="B6" s="71">
        <f>B4+1</f>
        <v>2</v>
      </c>
      <c r="C6" s="72" t="s">
        <v>63</v>
      </c>
    </row>
    <row r="7" spans="2:17" ht="19.95" customHeight="1" x14ac:dyDescent="0.3">
      <c r="C7" s="74"/>
      <c r="D7" s="74"/>
      <c r="E7" s="74"/>
      <c r="F7" s="74"/>
      <c r="I7" s="72" t="s">
        <v>60</v>
      </c>
    </row>
    <row r="8" spans="2:17" ht="10.050000000000001" customHeight="1" x14ac:dyDescent="0.3"/>
    <row r="9" spans="2:17" ht="15" customHeight="1" x14ac:dyDescent="0.3">
      <c r="C9" s="75"/>
      <c r="D9" s="75"/>
      <c r="E9" s="75"/>
      <c r="F9" s="75"/>
      <c r="I9" s="179" t="s">
        <v>265</v>
      </c>
      <c r="J9" s="179"/>
      <c r="K9" s="179"/>
      <c r="L9" s="179"/>
      <c r="M9" s="179"/>
      <c r="N9" s="179"/>
      <c r="O9" s="179"/>
      <c r="P9" s="179"/>
      <c r="Q9" s="179"/>
    </row>
    <row r="10" spans="2:17" ht="15" customHeight="1" x14ac:dyDescent="0.3">
      <c r="I10" s="179"/>
      <c r="J10" s="179"/>
      <c r="K10" s="179"/>
      <c r="L10" s="179"/>
      <c r="M10" s="179"/>
      <c r="N10" s="179"/>
      <c r="O10" s="179"/>
      <c r="P10" s="179"/>
      <c r="Q10" s="179"/>
    </row>
    <row r="11" spans="2:17" ht="10.050000000000001" customHeight="1" x14ac:dyDescent="0.3">
      <c r="I11" s="76"/>
      <c r="J11" s="76"/>
      <c r="K11" s="76"/>
      <c r="L11" s="76"/>
      <c r="M11" s="76"/>
      <c r="N11" s="76"/>
      <c r="O11" s="76"/>
      <c r="P11" s="76"/>
      <c r="Q11" s="76"/>
    </row>
    <row r="12" spans="2:17" ht="15" customHeight="1" x14ac:dyDescent="0.3">
      <c r="F12" s="27"/>
      <c r="I12" s="179" t="s">
        <v>293</v>
      </c>
      <c r="J12" s="179"/>
      <c r="K12" s="179"/>
      <c r="L12" s="179"/>
      <c r="M12" s="179"/>
      <c r="N12" s="179"/>
      <c r="O12" s="179"/>
      <c r="P12" s="179"/>
      <c r="Q12" s="179"/>
    </row>
    <row r="13" spans="2:17" ht="15" customHeight="1" x14ac:dyDescent="0.3">
      <c r="I13" s="179"/>
      <c r="J13" s="179"/>
      <c r="K13" s="179"/>
      <c r="L13" s="179"/>
      <c r="M13" s="179"/>
      <c r="N13" s="179"/>
      <c r="O13" s="179"/>
      <c r="P13" s="179"/>
      <c r="Q13" s="179"/>
    </row>
    <row r="14" spans="2:17" ht="15" customHeight="1" x14ac:dyDescent="0.3">
      <c r="I14" s="179"/>
      <c r="J14" s="179"/>
      <c r="K14" s="179"/>
      <c r="L14" s="179"/>
      <c r="M14" s="179"/>
      <c r="N14" s="179"/>
      <c r="O14" s="179"/>
      <c r="P14" s="179"/>
      <c r="Q14" s="179"/>
    </row>
    <row r="15" spans="2:17" ht="15" customHeight="1" x14ac:dyDescent="0.3">
      <c r="I15" s="179"/>
      <c r="J15" s="179"/>
      <c r="K15" s="179"/>
      <c r="L15" s="179"/>
      <c r="M15" s="179"/>
      <c r="N15" s="179"/>
      <c r="O15" s="179"/>
      <c r="P15" s="179"/>
      <c r="Q15" s="179"/>
    </row>
    <row r="16" spans="2:17" ht="10.050000000000001" customHeight="1" x14ac:dyDescent="0.3">
      <c r="I16" s="77"/>
      <c r="J16" s="77"/>
      <c r="K16" s="77"/>
      <c r="L16" s="77"/>
      <c r="M16" s="77"/>
      <c r="N16" s="77"/>
      <c r="O16" s="77"/>
      <c r="P16" s="77"/>
      <c r="Q16" s="77"/>
    </row>
    <row r="17" spans="3:17" ht="15" customHeight="1" x14ac:dyDescent="0.3">
      <c r="C17" s="27"/>
      <c r="D17" s="22" t="s">
        <v>118</v>
      </c>
      <c r="E17" s="22"/>
      <c r="F17" s="27"/>
      <c r="G17" s="22" t="s">
        <v>119</v>
      </c>
      <c r="I17" s="179" t="s">
        <v>213</v>
      </c>
      <c r="J17" s="179"/>
      <c r="K17" s="179"/>
      <c r="L17" s="179"/>
      <c r="M17" s="179"/>
      <c r="N17" s="179"/>
      <c r="O17" s="179"/>
      <c r="P17" s="179"/>
      <c r="Q17" s="179"/>
    </row>
    <row r="18" spans="3:17" ht="15" customHeight="1" x14ac:dyDescent="0.3">
      <c r="I18" s="179"/>
      <c r="J18" s="179"/>
      <c r="K18" s="179"/>
      <c r="L18" s="179"/>
      <c r="M18" s="179"/>
      <c r="N18" s="179"/>
      <c r="O18" s="179"/>
      <c r="P18" s="179"/>
      <c r="Q18" s="179"/>
    </row>
    <row r="19" spans="3:17" ht="10.050000000000001" customHeight="1" x14ac:dyDescent="0.3"/>
    <row r="20" spans="3:17" ht="15" customHeight="1" x14ac:dyDescent="0.3">
      <c r="C20" s="78"/>
      <c r="D20" s="78"/>
      <c r="E20" s="78"/>
      <c r="F20" s="78"/>
      <c r="I20" s="179" t="s">
        <v>62</v>
      </c>
      <c r="J20" s="179"/>
      <c r="K20" s="179"/>
      <c r="L20" s="179"/>
      <c r="M20" s="179"/>
      <c r="N20" s="179"/>
      <c r="O20" s="179"/>
      <c r="P20" s="179"/>
      <c r="Q20" s="179"/>
    </row>
    <row r="21" spans="3:17" ht="15" customHeight="1" x14ac:dyDescent="0.3">
      <c r="I21" s="179"/>
      <c r="J21" s="179"/>
      <c r="K21" s="179"/>
      <c r="L21" s="179"/>
      <c r="M21" s="179"/>
      <c r="N21" s="179"/>
      <c r="O21" s="179"/>
      <c r="P21" s="179"/>
      <c r="Q21" s="179"/>
    </row>
    <row r="22" spans="3:17" ht="15" customHeight="1" x14ac:dyDescent="0.3">
      <c r="I22" s="179"/>
      <c r="J22" s="179"/>
      <c r="K22" s="179"/>
      <c r="L22" s="179"/>
      <c r="M22" s="179"/>
      <c r="N22" s="179"/>
      <c r="O22" s="179"/>
      <c r="P22" s="179"/>
      <c r="Q22" s="179"/>
    </row>
    <row r="23" spans="3:17" ht="19.95" customHeight="1" x14ac:dyDescent="0.3">
      <c r="I23" s="179"/>
      <c r="J23" s="179"/>
      <c r="K23" s="179"/>
      <c r="L23" s="179"/>
      <c r="M23" s="179"/>
      <c r="N23" s="179"/>
      <c r="O23" s="179"/>
      <c r="P23" s="179"/>
      <c r="Q23" s="179"/>
    </row>
    <row r="24" spans="3:17" ht="10.050000000000001" customHeight="1" x14ac:dyDescent="0.3">
      <c r="I24" s="77"/>
      <c r="J24" s="77"/>
      <c r="K24" s="77"/>
      <c r="L24" s="77"/>
      <c r="M24" s="77"/>
      <c r="N24" s="77"/>
      <c r="O24" s="77"/>
      <c r="P24" s="77"/>
      <c r="Q24" s="77"/>
    </row>
    <row r="25" spans="3:17" ht="15" customHeight="1" x14ac:dyDescent="0.3">
      <c r="C25" s="79"/>
      <c r="D25" s="79"/>
      <c r="E25" s="79"/>
      <c r="F25" s="79"/>
      <c r="I25" s="179" t="s">
        <v>109</v>
      </c>
      <c r="J25" s="179"/>
      <c r="K25" s="179"/>
      <c r="L25" s="179"/>
      <c r="M25" s="179"/>
      <c r="N25" s="179"/>
      <c r="O25" s="179"/>
      <c r="P25" s="179"/>
      <c r="Q25" s="179"/>
    </row>
    <row r="26" spans="3:17" ht="15" customHeight="1" x14ac:dyDescent="0.3">
      <c r="I26" s="179"/>
      <c r="J26" s="179"/>
      <c r="K26" s="179"/>
      <c r="L26" s="179"/>
      <c r="M26" s="179"/>
      <c r="N26" s="179"/>
      <c r="O26" s="179"/>
      <c r="P26" s="179"/>
      <c r="Q26" s="179"/>
    </row>
    <row r="27" spans="3:17" ht="10.050000000000001" customHeight="1" x14ac:dyDescent="0.3"/>
    <row r="28" spans="3:17" ht="19.95" customHeight="1" x14ac:dyDescent="0.3">
      <c r="C28" s="80" t="s">
        <v>29</v>
      </c>
      <c r="D28" s="80"/>
      <c r="E28" s="80"/>
      <c r="F28" s="80"/>
      <c r="I28" s="72" t="s">
        <v>288</v>
      </c>
    </row>
    <row r="29" spans="3:17" ht="10.050000000000001" customHeight="1" x14ac:dyDescent="0.3"/>
    <row r="30" spans="3:17" ht="19.95" customHeight="1" x14ac:dyDescent="0.3">
      <c r="C30" s="5" t="s">
        <v>31</v>
      </c>
      <c r="D30" s="5"/>
      <c r="E30" s="5"/>
      <c r="F30" s="5"/>
      <c r="I30" s="72" t="s">
        <v>65</v>
      </c>
    </row>
    <row r="31" spans="3:17" ht="10.050000000000001" customHeight="1" x14ac:dyDescent="0.3"/>
    <row r="32" spans="3:17" ht="19.95" customHeight="1" x14ac:dyDescent="0.3">
      <c r="C32" s="5" t="s">
        <v>21</v>
      </c>
      <c r="D32" s="5"/>
      <c r="E32" s="5"/>
      <c r="F32" s="5"/>
      <c r="I32" s="72" t="s">
        <v>110</v>
      </c>
    </row>
    <row r="33" spans="2:17" ht="10.050000000000001" customHeight="1" x14ac:dyDescent="0.3"/>
    <row r="34" spans="2:17" ht="19.95" customHeight="1" x14ac:dyDescent="0.3">
      <c r="B34" s="71">
        <f>B6+1</f>
        <v>3</v>
      </c>
      <c r="C34" s="72" t="s">
        <v>216</v>
      </c>
    </row>
    <row r="35" spans="2:17" ht="19.95" customHeight="1" x14ac:dyDescent="0.3">
      <c r="B35" s="71">
        <f>B34+1</f>
        <v>4</v>
      </c>
      <c r="C35" s="179" t="s">
        <v>217</v>
      </c>
      <c r="D35" s="179"/>
      <c r="E35" s="179"/>
      <c r="F35" s="179"/>
      <c r="G35" s="179"/>
      <c r="H35" s="179"/>
      <c r="I35" s="179"/>
      <c r="J35" s="179"/>
      <c r="K35" s="179"/>
      <c r="L35" s="179"/>
      <c r="M35" s="179"/>
      <c r="N35" s="179"/>
      <c r="O35" s="179"/>
      <c r="P35" s="179"/>
      <c r="Q35" s="179"/>
    </row>
    <row r="36" spans="2:17" ht="15" customHeight="1" x14ac:dyDescent="0.3">
      <c r="C36" s="179"/>
      <c r="D36" s="179"/>
      <c r="E36" s="179"/>
      <c r="F36" s="179"/>
      <c r="G36" s="179"/>
      <c r="H36" s="179"/>
      <c r="I36" s="179"/>
      <c r="J36" s="179"/>
      <c r="K36" s="179"/>
      <c r="L36" s="179"/>
      <c r="M36" s="179"/>
      <c r="N36" s="179"/>
      <c r="O36" s="179"/>
      <c r="P36" s="179"/>
      <c r="Q36" s="179"/>
    </row>
    <row r="37" spans="2:17" ht="19.95" customHeight="1" x14ac:dyDescent="0.3">
      <c r="B37" s="71">
        <v>5</v>
      </c>
      <c r="C37" s="180" t="s">
        <v>214</v>
      </c>
      <c r="D37" s="180"/>
      <c r="E37" s="180"/>
      <c r="F37" s="180"/>
      <c r="G37" s="180"/>
      <c r="H37" s="180"/>
      <c r="I37" s="180"/>
      <c r="J37" s="180"/>
      <c r="K37" s="180"/>
      <c r="L37" s="180"/>
      <c r="M37" s="180"/>
      <c r="N37" s="180"/>
      <c r="O37" s="180"/>
      <c r="P37" s="180"/>
      <c r="Q37" s="180"/>
    </row>
    <row r="38" spans="2:17" ht="19.95" customHeight="1" x14ac:dyDescent="0.3">
      <c r="C38" s="180"/>
      <c r="D38" s="180"/>
      <c r="E38" s="180"/>
      <c r="F38" s="180"/>
      <c r="G38" s="180"/>
      <c r="H38" s="180"/>
      <c r="I38" s="180"/>
      <c r="J38" s="180"/>
      <c r="K38" s="180"/>
      <c r="L38" s="180"/>
      <c r="M38" s="180"/>
      <c r="N38" s="180"/>
      <c r="O38" s="180"/>
      <c r="P38" s="180"/>
      <c r="Q38" s="180"/>
    </row>
    <row r="39" spans="2:17" ht="12" customHeight="1" x14ac:dyDescent="0.3">
      <c r="C39" s="180"/>
      <c r="D39" s="180"/>
      <c r="E39" s="180"/>
      <c r="F39" s="180"/>
      <c r="G39" s="180"/>
      <c r="H39" s="180"/>
      <c r="I39" s="180"/>
      <c r="J39" s="180"/>
      <c r="K39" s="180"/>
      <c r="L39" s="180"/>
      <c r="M39" s="180"/>
      <c r="N39" s="180"/>
      <c r="O39" s="180"/>
      <c r="P39" s="180"/>
      <c r="Q39" s="180"/>
    </row>
    <row r="40" spans="2:17" ht="19.95" customHeight="1" x14ac:dyDescent="0.3">
      <c r="B40" s="71">
        <v>6</v>
      </c>
      <c r="C40" s="72" t="s">
        <v>248</v>
      </c>
    </row>
    <row r="41" spans="2:17" ht="19.95" customHeight="1" x14ac:dyDescent="0.3"/>
    <row r="42" spans="2:17" ht="19.95" customHeight="1" x14ac:dyDescent="0.3"/>
    <row r="43" spans="2:17" ht="19.95" customHeight="1" x14ac:dyDescent="0.3"/>
    <row r="44" spans="2:17" ht="19.95" customHeight="1" x14ac:dyDescent="0.3"/>
    <row r="45" spans="2:17" ht="19.95" customHeight="1" x14ac:dyDescent="0.3"/>
    <row r="46" spans="2:17" ht="19.95" customHeight="1" x14ac:dyDescent="0.3"/>
    <row r="47" spans="2:17" ht="19.95" customHeight="1" x14ac:dyDescent="0.3"/>
    <row r="48" spans="2:17" ht="19.95" customHeight="1" x14ac:dyDescent="0.3"/>
    <row r="49" ht="19.95" customHeight="1" x14ac:dyDescent="0.3"/>
    <row r="50" ht="19.95" customHeight="1" x14ac:dyDescent="0.3"/>
    <row r="51" ht="19.95" customHeight="1" x14ac:dyDescent="0.3"/>
    <row r="52" ht="19.95" customHeight="1" x14ac:dyDescent="0.3"/>
    <row r="53" ht="19.95" customHeight="1" x14ac:dyDescent="0.3"/>
    <row r="54" ht="19.95" customHeight="1" x14ac:dyDescent="0.3"/>
    <row r="55" ht="19.95" customHeight="1" x14ac:dyDescent="0.3"/>
    <row r="56" ht="19.95" customHeight="1" x14ac:dyDescent="0.3"/>
    <row r="57" ht="19.95" customHeight="1" x14ac:dyDescent="0.3"/>
  </sheetData>
  <sheetProtection algorithmName="SHA-512" hashValue="qU2Nw3Qad6VreVbBJWkx8vuEfSwrNRl1l58pofNZdwr4p/d4agmfej+lZbnaIWLKtayBJWj1lFFWaHuQ0ov+yg==" saltValue="xOfImNKAX6nFsJGalhG0oQ==" spinCount="100000" sheet="1" objects="1" scenarios="1" selectLockedCells="1"/>
  <mergeCells count="8">
    <mergeCell ref="I25:Q26"/>
    <mergeCell ref="C35:Q36"/>
    <mergeCell ref="C37:Q39"/>
    <mergeCell ref="C4:Q5"/>
    <mergeCell ref="I9:Q10"/>
    <mergeCell ref="I12:Q15"/>
    <mergeCell ref="I17:Q18"/>
    <mergeCell ref="I20:Q23"/>
  </mergeCells>
  <conditionalFormatting sqref="C17">
    <cfRule type="expression" dxfId="372" priority="5">
      <formula>ISBLANK(C17)</formula>
    </cfRule>
  </conditionalFormatting>
  <conditionalFormatting sqref="C9:F9">
    <cfRule type="expression" dxfId="371" priority="7">
      <formula>ISBLANK(C9)</formula>
    </cfRule>
  </conditionalFormatting>
  <conditionalFormatting sqref="F12">
    <cfRule type="expression" dxfId="370" priority="6">
      <formula>ISBLANK(F12)</formula>
    </cfRule>
  </conditionalFormatting>
  <conditionalFormatting sqref="F17">
    <cfRule type="expression" dxfId="369" priority="4">
      <formula>ISBLANK(F17)</formula>
    </cfRule>
  </conditionalFormatting>
  <pageMargins left="0.2" right="0.2" top="0.5" bottom="0.25" header="0.3" footer="0.3"/>
  <pageSetup scale="97"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BCFA-678D-4F47-972D-31E458267710}">
  <sheetPr codeName="Sheet5">
    <tabColor theme="9" tint="0.39997558519241921"/>
  </sheetPr>
  <dimension ref="A1:CU207"/>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22" customWidth="1"/>
    <col min="2" max="36" width="2.77734375" style="22" customWidth="1"/>
    <col min="37" max="37" width="1.77734375" style="22" customWidth="1"/>
    <col min="38" max="38" width="10.33203125" style="14" hidden="1" customWidth="1"/>
    <col min="39" max="39" width="11" style="14" hidden="1" customWidth="1"/>
    <col min="40" max="40" width="10.109375" style="14" hidden="1" customWidth="1"/>
    <col min="41" max="41" width="9.21875" style="14" hidden="1" customWidth="1"/>
    <col min="42" max="42" width="12.44140625" style="14" hidden="1" customWidth="1"/>
    <col min="43" max="43" width="8.77734375" style="14" hidden="1" customWidth="1"/>
    <col min="44" max="45" width="20" style="14" hidden="1" customWidth="1"/>
    <col min="46" max="46" width="8.77734375" style="14" hidden="1" customWidth="1"/>
    <col min="47" max="47" width="2.77734375" style="22" customWidth="1"/>
    <col min="48" max="48" width="3.77734375" style="22" customWidth="1"/>
    <col min="49" max="88" width="2.77734375" style="22" customWidth="1"/>
    <col min="89" max="99" width="0" style="22" hidden="1" customWidth="1"/>
    <col min="100" max="16384" width="8.88671875" style="22" hidden="1"/>
  </cols>
  <sheetData>
    <row r="1" spans="2:99" ht="15" customHeight="1" x14ac:dyDescent="0.3">
      <c r="O1" s="3"/>
      <c r="P1" s="3"/>
      <c r="Q1" s="3"/>
      <c r="S1" s="18"/>
      <c r="T1" s="18"/>
      <c r="U1" s="18"/>
      <c r="V1" s="18"/>
      <c r="W1" s="225" t="s">
        <v>336</v>
      </c>
      <c r="X1" s="225"/>
      <c r="Y1" s="225"/>
      <c r="Z1" s="225"/>
      <c r="AA1" s="225"/>
      <c r="AB1" s="225"/>
      <c r="AC1" s="225"/>
      <c r="AD1" s="225"/>
      <c r="AE1" s="225"/>
      <c r="AF1" s="225"/>
      <c r="AG1" s="225"/>
      <c r="AH1" s="225"/>
      <c r="AI1" s="225"/>
      <c r="AJ1" s="225"/>
      <c r="AK1" s="225"/>
      <c r="AL1" s="60"/>
      <c r="AM1" s="60"/>
      <c r="AN1" s="60"/>
      <c r="AO1" s="60"/>
      <c r="AP1" s="60"/>
      <c r="AQ1" s="60"/>
      <c r="AR1" s="60"/>
      <c r="AS1" s="60"/>
      <c r="AT1" s="60"/>
      <c r="BG1" s="61"/>
      <c r="BH1" s="61"/>
      <c r="BJ1" s="18"/>
      <c r="BK1" s="18"/>
      <c r="BL1" s="18"/>
      <c r="BM1" s="18"/>
      <c r="BN1" s="225" t="str">
        <f>W1</f>
        <v>Form 2B.1 - Retention Pond
Design Form</v>
      </c>
      <c r="BO1" s="225"/>
      <c r="BP1" s="225"/>
      <c r="BQ1" s="225"/>
      <c r="BR1" s="225"/>
      <c r="BS1" s="225"/>
      <c r="BT1" s="225"/>
      <c r="BU1" s="225"/>
      <c r="BV1" s="225"/>
      <c r="BW1" s="225"/>
      <c r="BX1" s="225"/>
      <c r="BY1" s="225"/>
      <c r="BZ1" s="225"/>
      <c r="CA1" s="225"/>
      <c r="CB1" s="225"/>
      <c r="CC1" s="225"/>
      <c r="CD1" s="19"/>
      <c r="CE1" s="19"/>
      <c r="CF1" s="19"/>
      <c r="CG1" s="19"/>
      <c r="CH1" s="19"/>
      <c r="CI1" s="19"/>
      <c r="CP1" s="61"/>
      <c r="CQ1" s="61"/>
      <c r="CR1" s="61"/>
      <c r="CS1" s="61"/>
      <c r="CT1" s="61"/>
      <c r="CU1" s="61"/>
    </row>
    <row r="2" spans="2:99" ht="15" customHeight="1" x14ac:dyDescent="0.3">
      <c r="J2" s="3"/>
      <c r="K2" s="3"/>
      <c r="L2" s="3"/>
      <c r="M2" s="3"/>
      <c r="N2" s="3"/>
      <c r="O2" s="3"/>
      <c r="P2" s="3"/>
      <c r="Q2" s="3"/>
      <c r="R2" s="18"/>
      <c r="S2" s="18"/>
      <c r="T2" s="18"/>
      <c r="U2" s="18"/>
      <c r="V2" s="18"/>
      <c r="W2" s="225"/>
      <c r="X2" s="225"/>
      <c r="Y2" s="225"/>
      <c r="Z2" s="225"/>
      <c r="AA2" s="225"/>
      <c r="AB2" s="225"/>
      <c r="AC2" s="225"/>
      <c r="AD2" s="225"/>
      <c r="AE2" s="225"/>
      <c r="AF2" s="225"/>
      <c r="AG2" s="225"/>
      <c r="AH2" s="225"/>
      <c r="AI2" s="225"/>
      <c r="AJ2" s="225"/>
      <c r="AK2" s="225"/>
      <c r="AL2" s="60"/>
      <c r="AM2" s="60"/>
      <c r="AN2" s="60"/>
      <c r="AO2" s="60"/>
      <c r="AP2" s="60"/>
      <c r="AQ2" s="60"/>
      <c r="AR2" s="60"/>
      <c r="AS2" s="60"/>
      <c r="AT2" s="60"/>
      <c r="BF2" s="61"/>
      <c r="BG2" s="61"/>
      <c r="BH2" s="61"/>
      <c r="BI2" s="18"/>
      <c r="BJ2" s="18"/>
      <c r="BK2" s="18"/>
      <c r="BL2" s="18"/>
      <c r="BM2" s="18"/>
      <c r="BN2" s="225"/>
      <c r="BO2" s="225"/>
      <c r="BP2" s="225"/>
      <c r="BQ2" s="225"/>
      <c r="BR2" s="225"/>
      <c r="BS2" s="225"/>
      <c r="BT2" s="225"/>
      <c r="BU2" s="225"/>
      <c r="BV2" s="225"/>
      <c r="BW2" s="225"/>
      <c r="BX2" s="225"/>
      <c r="BY2" s="225"/>
      <c r="BZ2" s="225"/>
      <c r="CA2" s="225"/>
      <c r="CB2" s="225"/>
      <c r="CC2" s="225"/>
      <c r="CD2" s="19"/>
      <c r="CE2" s="19"/>
      <c r="CF2" s="19"/>
      <c r="CG2" s="19"/>
      <c r="CH2" s="19"/>
      <c r="CI2" s="19"/>
      <c r="CP2" s="61"/>
      <c r="CQ2" s="61"/>
      <c r="CR2" s="61"/>
      <c r="CS2" s="61"/>
      <c r="CT2" s="61"/>
      <c r="CU2" s="61"/>
    </row>
    <row r="3" spans="2:99" ht="15" customHeight="1" x14ac:dyDescent="0.3">
      <c r="J3" s="3"/>
      <c r="K3" s="3"/>
      <c r="L3" s="3"/>
      <c r="M3" s="3"/>
      <c r="N3" s="3"/>
      <c r="O3" s="3"/>
      <c r="P3" s="3"/>
      <c r="Q3" s="3"/>
      <c r="R3" s="18"/>
      <c r="S3" s="18"/>
      <c r="T3" s="18"/>
      <c r="U3" s="18"/>
      <c r="V3" s="18"/>
      <c r="W3" s="225"/>
      <c r="X3" s="225"/>
      <c r="Y3" s="225"/>
      <c r="Z3" s="225"/>
      <c r="AA3" s="225"/>
      <c r="AB3" s="225"/>
      <c r="AC3" s="225"/>
      <c r="AD3" s="225"/>
      <c r="AE3" s="225"/>
      <c r="AF3" s="225"/>
      <c r="AG3" s="225"/>
      <c r="AH3" s="225"/>
      <c r="AI3" s="225"/>
      <c r="AJ3" s="225"/>
      <c r="AK3" s="225"/>
      <c r="AL3" s="60"/>
      <c r="AM3" s="60"/>
      <c r="AN3" s="60"/>
      <c r="AO3" s="60"/>
      <c r="AP3" s="60"/>
      <c r="AQ3" s="60"/>
      <c r="AR3" s="60"/>
      <c r="AS3" s="60"/>
      <c r="AT3" s="60"/>
      <c r="BF3" s="61"/>
      <c r="BG3" s="61"/>
      <c r="BH3" s="61"/>
      <c r="BI3" s="18"/>
      <c r="BJ3" s="18"/>
      <c r="BK3" s="18"/>
      <c r="BL3" s="18"/>
      <c r="BM3" s="18"/>
      <c r="BN3" s="225"/>
      <c r="BO3" s="225"/>
      <c r="BP3" s="225"/>
      <c r="BQ3" s="225"/>
      <c r="BR3" s="225"/>
      <c r="BS3" s="225"/>
      <c r="BT3" s="225"/>
      <c r="BU3" s="225"/>
      <c r="BV3" s="225"/>
      <c r="BW3" s="225"/>
      <c r="BX3" s="225"/>
      <c r="BY3" s="225"/>
      <c r="BZ3" s="225"/>
      <c r="CA3" s="225"/>
      <c r="CB3" s="225"/>
      <c r="CC3" s="225"/>
      <c r="CD3" s="19"/>
      <c r="CE3" s="19"/>
      <c r="CF3" s="19"/>
      <c r="CG3" s="19"/>
      <c r="CH3" s="19"/>
      <c r="CI3" s="19"/>
      <c r="CP3" s="61"/>
      <c r="CQ3" s="61"/>
      <c r="CR3" s="61"/>
      <c r="CS3" s="61"/>
      <c r="CT3" s="61"/>
      <c r="CU3" s="61"/>
    </row>
    <row r="4" spans="2:99" ht="15" customHeight="1" x14ac:dyDescent="0.3">
      <c r="J4" s="3"/>
      <c r="K4" s="3"/>
      <c r="L4" s="3"/>
      <c r="M4" s="3"/>
      <c r="N4" s="3"/>
      <c r="O4" s="3"/>
      <c r="P4" s="3"/>
      <c r="Q4" s="3"/>
      <c r="R4" s="18"/>
      <c r="S4" s="18"/>
      <c r="T4" s="18"/>
      <c r="U4" s="18"/>
      <c r="V4" s="18"/>
      <c r="W4" s="225"/>
      <c r="X4" s="225"/>
      <c r="Y4" s="225"/>
      <c r="Z4" s="225"/>
      <c r="AA4" s="225"/>
      <c r="AB4" s="225"/>
      <c r="AC4" s="225"/>
      <c r="AD4" s="225"/>
      <c r="AE4" s="225"/>
      <c r="AF4" s="225"/>
      <c r="AG4" s="225"/>
      <c r="AH4" s="225"/>
      <c r="AI4" s="225"/>
      <c r="AJ4" s="225"/>
      <c r="AK4" s="225"/>
      <c r="AL4" s="60"/>
      <c r="AM4" s="60"/>
      <c r="AN4" s="60"/>
      <c r="AO4" s="60"/>
      <c r="AP4" s="60"/>
      <c r="AQ4" s="60"/>
      <c r="AR4" s="60"/>
      <c r="AS4" s="60"/>
      <c r="AT4" s="60"/>
      <c r="BF4" s="61"/>
      <c r="BG4" s="61"/>
      <c r="BH4" s="61"/>
      <c r="BI4" s="18"/>
      <c r="BJ4" s="18"/>
      <c r="BK4" s="18"/>
      <c r="BL4" s="18"/>
      <c r="BM4" s="18"/>
      <c r="BN4" s="225"/>
      <c r="BO4" s="225"/>
      <c r="BP4" s="225"/>
      <c r="BQ4" s="225"/>
      <c r="BR4" s="225"/>
      <c r="BS4" s="225"/>
      <c r="BT4" s="225"/>
      <c r="BU4" s="225"/>
      <c r="BV4" s="225"/>
      <c r="BW4" s="225"/>
      <c r="BX4" s="225"/>
      <c r="BY4" s="225"/>
      <c r="BZ4" s="225"/>
      <c r="CA4" s="225"/>
      <c r="CB4" s="225"/>
      <c r="CC4" s="225"/>
      <c r="CD4" s="19"/>
      <c r="CE4" s="19"/>
      <c r="CF4" s="19"/>
      <c r="CG4" s="19"/>
      <c r="CH4" s="19"/>
      <c r="CI4" s="19"/>
      <c r="CP4" s="61"/>
      <c r="CQ4" s="61"/>
      <c r="CR4" s="61"/>
      <c r="CS4" s="61"/>
      <c r="CT4" s="61"/>
      <c r="CU4" s="61"/>
    </row>
    <row r="5" spans="2:99" ht="4.95" customHeight="1" x14ac:dyDescent="0.3">
      <c r="J5" s="3"/>
      <c r="K5" s="3"/>
      <c r="L5" s="3"/>
      <c r="M5" s="3"/>
      <c r="N5" s="3"/>
      <c r="O5" s="3"/>
      <c r="P5" s="3"/>
      <c r="Q5" s="3"/>
      <c r="R5" s="18"/>
      <c r="S5" s="18"/>
      <c r="T5" s="18"/>
      <c r="U5" s="18"/>
      <c r="V5" s="18"/>
      <c r="W5" s="19"/>
      <c r="X5" s="19"/>
      <c r="Y5" s="19"/>
      <c r="Z5" s="19"/>
      <c r="AA5" s="19"/>
      <c r="AB5" s="19"/>
      <c r="AC5" s="19"/>
      <c r="AD5" s="19"/>
      <c r="AE5" s="19"/>
      <c r="AF5" s="19"/>
      <c r="AG5" s="19"/>
      <c r="AH5" s="19"/>
      <c r="AI5" s="19"/>
      <c r="AJ5" s="19"/>
      <c r="AK5" s="19"/>
      <c r="AL5" s="60"/>
      <c r="AM5" s="60"/>
      <c r="AN5" s="60"/>
      <c r="AO5" s="60"/>
      <c r="AP5" s="60"/>
      <c r="AQ5" s="60"/>
      <c r="AR5" s="60"/>
      <c r="AS5" s="60"/>
      <c r="AT5" s="60"/>
      <c r="BF5" s="61"/>
      <c r="BG5" s="61"/>
      <c r="BH5" s="61"/>
      <c r="BI5" s="18"/>
      <c r="BJ5" s="18"/>
      <c r="BK5" s="18"/>
      <c r="BL5" s="18"/>
      <c r="BM5" s="18"/>
      <c r="BN5" s="19"/>
      <c r="BO5" s="19"/>
      <c r="BP5" s="19"/>
      <c r="BQ5" s="19"/>
      <c r="BR5" s="19"/>
      <c r="BS5" s="19"/>
      <c r="BT5" s="19"/>
      <c r="BU5" s="19"/>
      <c r="BV5" s="19"/>
      <c r="BW5" s="19"/>
      <c r="BX5" s="19"/>
      <c r="BY5" s="19"/>
      <c r="BZ5" s="19"/>
      <c r="CA5" s="19"/>
      <c r="CB5" s="19"/>
      <c r="CC5" s="19"/>
      <c r="CD5" s="19"/>
      <c r="CE5" s="19"/>
      <c r="CF5" s="19"/>
      <c r="CG5" s="19"/>
      <c r="CH5" s="19"/>
      <c r="CI5" s="19"/>
      <c r="CP5" s="61"/>
      <c r="CQ5" s="61"/>
      <c r="CR5" s="61"/>
      <c r="CS5" s="61"/>
      <c r="CT5" s="61"/>
      <c r="CU5" s="61"/>
    </row>
    <row r="6" spans="2:99" ht="15" customHeight="1" x14ac:dyDescent="0.3">
      <c r="B6" s="1" t="s">
        <v>0</v>
      </c>
      <c r="C6" s="1"/>
      <c r="D6" s="1"/>
      <c r="E6" s="1"/>
      <c r="F6" s="1"/>
      <c r="G6" s="1"/>
      <c r="H6" s="1"/>
      <c r="I6" s="1"/>
      <c r="AC6" s="2" t="s">
        <v>424</v>
      </c>
      <c r="AD6" s="223"/>
      <c r="AE6" s="223"/>
      <c r="AF6" s="223"/>
      <c r="AG6" s="223"/>
      <c r="AH6" s="223"/>
      <c r="AI6" s="223"/>
      <c r="AJ6" s="223"/>
      <c r="AX6" s="68"/>
      <c r="AY6"/>
      <c r="AZ6"/>
      <c r="BA6"/>
      <c r="BB6"/>
      <c r="BC6"/>
      <c r="BD6"/>
      <c r="BE6"/>
      <c r="BF6"/>
      <c r="BG6"/>
      <c r="BH6"/>
      <c r="BI6"/>
      <c r="BJ6"/>
      <c r="BK6"/>
      <c r="BL6"/>
      <c r="BM6"/>
      <c r="BN6"/>
      <c r="BO6"/>
      <c r="BP6"/>
      <c r="BQ6"/>
      <c r="BR6"/>
      <c r="BS6"/>
      <c r="BT6"/>
      <c r="BU6"/>
      <c r="BV6"/>
      <c r="BW6"/>
      <c r="BX6"/>
      <c r="BY6"/>
      <c r="BZ6"/>
      <c r="CA6"/>
      <c r="CB6"/>
      <c r="CC6"/>
      <c r="CD6"/>
      <c r="CE6"/>
      <c r="CF6"/>
      <c r="CG6"/>
      <c r="CH6"/>
      <c r="CI6"/>
      <c r="CJ6"/>
    </row>
    <row r="7" spans="2:99" ht="14.55" customHeight="1" x14ac:dyDescent="0.3">
      <c r="D7" s="2" t="s">
        <v>129</v>
      </c>
      <c r="E7" s="204"/>
      <c r="F7" s="204"/>
      <c r="G7" s="204"/>
      <c r="H7" s="204"/>
      <c r="I7" s="204"/>
      <c r="J7" s="204"/>
      <c r="K7" s="204"/>
      <c r="L7" s="204"/>
      <c r="M7" s="204"/>
      <c r="N7" s="204"/>
      <c r="O7" s="204"/>
      <c r="P7" s="204"/>
      <c r="Q7" s="204"/>
      <c r="R7" s="204"/>
      <c r="S7" s="204"/>
      <c r="T7" s="204"/>
      <c r="U7" s="204"/>
      <c r="V7" s="204"/>
      <c r="W7" s="204"/>
      <c r="X7" s="204"/>
      <c r="AD7" s="2" t="s">
        <v>193</v>
      </c>
      <c r="AE7" s="192"/>
      <c r="AF7" s="192"/>
      <c r="AG7" s="192"/>
      <c r="AH7" s="192"/>
      <c r="AI7" s="192"/>
      <c r="AJ7" s="192"/>
      <c r="AV7" s="222" t="s">
        <v>64</v>
      </c>
      <c r="AW7" s="222"/>
      <c r="AX7" s="222"/>
      <c r="AY7" s="222"/>
      <c r="AZ7" s="222"/>
      <c r="BA7" s="222"/>
      <c r="BB7" s="222"/>
      <c r="BC7" s="222"/>
      <c r="BD7" s="222"/>
      <c r="BE7" s="222"/>
      <c r="BF7" s="222"/>
      <c r="BG7" s="222"/>
      <c r="BH7" s="222"/>
      <c r="BI7" s="222"/>
      <c r="BJ7" s="22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row>
    <row r="8" spans="2:99" ht="14.55" customHeight="1" x14ac:dyDescent="0.3">
      <c r="D8" s="2" t="s">
        <v>130</v>
      </c>
      <c r="E8" s="205"/>
      <c r="F8" s="205"/>
      <c r="G8" s="205"/>
      <c r="H8" s="205"/>
      <c r="I8" s="205"/>
      <c r="J8" s="205"/>
      <c r="K8" s="205"/>
      <c r="L8" s="205"/>
      <c r="M8" s="205"/>
      <c r="N8" s="205"/>
      <c r="O8" s="205"/>
      <c r="P8" s="205"/>
      <c r="Q8" s="205"/>
      <c r="R8" s="205"/>
      <c r="S8" s="205"/>
      <c r="T8" s="205"/>
      <c r="U8" s="205"/>
      <c r="V8" s="205"/>
      <c r="W8" s="205"/>
      <c r="X8" s="205"/>
      <c r="AD8" s="2" t="s">
        <v>194</v>
      </c>
      <c r="AE8" s="206"/>
      <c r="AF8" s="206"/>
      <c r="AG8" s="206"/>
      <c r="AH8" s="206"/>
      <c r="AI8" s="206"/>
      <c r="AJ8" s="206"/>
      <c r="AV8" s="222"/>
      <c r="AW8" s="222"/>
      <c r="AX8" s="222"/>
      <c r="AY8" s="222"/>
      <c r="AZ8" s="222"/>
      <c r="BA8" s="222"/>
      <c r="BB8" s="222"/>
      <c r="BC8" s="222"/>
      <c r="BD8" s="222"/>
      <c r="BE8" s="222"/>
      <c r="BF8" s="222"/>
      <c r="BG8" s="222"/>
      <c r="BH8" s="222"/>
      <c r="BI8" s="222"/>
      <c r="BJ8" s="222"/>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row>
    <row r="9" spans="2:99" ht="4.95" customHeight="1" x14ac:dyDescent="0.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63"/>
      <c r="AM9" s="63"/>
      <c r="AN9" s="63"/>
      <c r="AO9" s="63"/>
      <c r="AP9" s="63"/>
      <c r="AQ9" s="63"/>
      <c r="AR9" s="63"/>
      <c r="AS9" s="63"/>
      <c r="AT9" s="63"/>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row>
    <row r="10" spans="2:99" ht="14.55" customHeight="1" x14ac:dyDescent="0.3">
      <c r="E10" s="2" t="s">
        <v>206</v>
      </c>
      <c r="G10" s="15"/>
      <c r="H10" s="22" t="s">
        <v>124</v>
      </c>
      <c r="N10" s="15"/>
      <c r="O10" s="22" t="s">
        <v>125</v>
      </c>
      <c r="U10" s="15"/>
      <c r="V10" s="22" t="s">
        <v>126</v>
      </c>
      <c r="AC10" s="15"/>
      <c r="AD10" s="22" t="str">
        <f>" "&amp;Tables!F37</f>
        <v xml:space="preserve"> Drainage Rights</v>
      </c>
      <c r="AV10" s="68" t="s">
        <v>112</v>
      </c>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row>
    <row r="11" spans="2:99" ht="4.95" customHeight="1" x14ac:dyDescent="0.3">
      <c r="C11" s="2"/>
      <c r="D11" s="2"/>
      <c r="E11" s="2"/>
      <c r="F11" s="2"/>
      <c r="G11" s="2"/>
      <c r="H11" s="2"/>
      <c r="I11" s="2"/>
    </row>
    <row r="12" spans="2:99" ht="14.55" customHeight="1" x14ac:dyDescent="0.3">
      <c r="D12" s="2"/>
      <c r="F12" s="2" t="s">
        <v>404</v>
      </c>
      <c r="G12" s="51"/>
      <c r="H12" s="13" t="s">
        <v>349</v>
      </c>
      <c r="J12" s="15"/>
      <c r="K12" s="13" t="s">
        <v>350</v>
      </c>
      <c r="Z12" s="2" t="s">
        <v>406</v>
      </c>
      <c r="AA12" s="191"/>
      <c r="AB12" s="191"/>
      <c r="AC12" s="191"/>
      <c r="AD12" s="191"/>
      <c r="AE12" s="185" t="str">
        <f>IF($AM$14=0,"Units?",IF($AM$14=1,"ac",IF($AM$14=2,"sq-ft","Error")))</f>
        <v>Units?</v>
      </c>
      <c r="AF12" s="185"/>
      <c r="AL12" s="91">
        <f>IF(AND(ISBLANK(G12),ISBLANK(J12)),1,2)</f>
        <v>1</v>
      </c>
      <c r="AM12" s="91">
        <f>IF(ISBLANK(G12),0,1)</f>
        <v>0</v>
      </c>
      <c r="AO12" s="63" t="s">
        <v>408</v>
      </c>
      <c r="AP12" s="129">
        <f>IF($AM$14=2,AA13/43560,AA13)</f>
        <v>0</v>
      </c>
      <c r="AQ12" s="14" t="s">
        <v>407</v>
      </c>
      <c r="AV12" s="17">
        <v>1</v>
      </c>
      <c r="AW12" s="22" t="s">
        <v>308</v>
      </c>
      <c r="AX12" s="13"/>
      <c r="AY12" s="62"/>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row>
    <row r="13" spans="2:99" ht="14.55" customHeight="1" x14ac:dyDescent="0.3">
      <c r="B13" s="22" t="s">
        <v>2</v>
      </c>
      <c r="Z13" s="2" t="s">
        <v>405</v>
      </c>
      <c r="AA13" s="218"/>
      <c r="AB13" s="218"/>
      <c r="AC13" s="218"/>
      <c r="AD13" s="218"/>
      <c r="AE13" s="185" t="str">
        <f>IF($AM$14=0,"Units?",IF($AM$14=1,"ac",IF($AM$14=2,"sq-ft","Error")))</f>
        <v>Units?</v>
      </c>
      <c r="AF13" s="185"/>
      <c r="AM13" s="91">
        <f>IF(ISBLANK(J12),0,2)</f>
        <v>0</v>
      </c>
      <c r="AN13" s="63"/>
      <c r="AO13" s="63" t="s">
        <v>409</v>
      </c>
      <c r="AP13" s="129">
        <f>IF($AM$14=2,J19/43560,J19)</f>
        <v>0</v>
      </c>
      <c r="AQ13" s="14" t="s">
        <v>407</v>
      </c>
      <c r="AV13" s="17"/>
      <c r="AW13" s="22" t="s">
        <v>307</v>
      </c>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row>
    <row r="14" spans="2:99" ht="14.55" customHeight="1" x14ac:dyDescent="0.3">
      <c r="D14" s="2"/>
      <c r="E14" s="2"/>
      <c r="F14" s="2"/>
      <c r="G14" s="2"/>
      <c r="I14" s="2" t="s">
        <v>207</v>
      </c>
      <c r="J14" s="191"/>
      <c r="K14" s="191"/>
      <c r="L14" s="191"/>
      <c r="M14" s="191"/>
      <c r="N14" s="185" t="str">
        <f t="shared" ref="N14:N19" si="0">IF($AM$14=0,"Units?",IF($AM$14=1,"ac",IF($AM$14=2,"sq-ft","Error")))</f>
        <v>Units?</v>
      </c>
      <c r="O14" s="185"/>
      <c r="S14" s="22" t="s">
        <v>49</v>
      </c>
      <c r="AM14" s="91">
        <f>SUM(AM12:AM13)</f>
        <v>0</v>
      </c>
      <c r="AN14" s="14" t="s">
        <v>332</v>
      </c>
      <c r="AO14" s="63" t="s">
        <v>410</v>
      </c>
      <c r="AP14" s="129">
        <f>AP13-AP12</f>
        <v>0</v>
      </c>
      <c r="AQ14" s="14" t="s">
        <v>407</v>
      </c>
      <c r="AV14" s="17">
        <f>AV12+1</f>
        <v>2</v>
      </c>
      <c r="AW14" s="13" t="s">
        <v>309</v>
      </c>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row>
    <row r="15" spans="2:99" ht="14.55" customHeight="1" x14ac:dyDescent="0.3">
      <c r="D15" s="2"/>
      <c r="E15" s="2"/>
      <c r="F15" s="2"/>
      <c r="G15" s="2"/>
      <c r="I15" s="2" t="s">
        <v>208</v>
      </c>
      <c r="J15" s="186"/>
      <c r="K15" s="186"/>
      <c r="L15" s="186"/>
      <c r="M15" s="186"/>
      <c r="N15" s="185" t="str">
        <f t="shared" si="0"/>
        <v>Units?</v>
      </c>
      <c r="O15" s="185"/>
      <c r="V15" s="2" t="s">
        <v>50</v>
      </c>
      <c r="W15" s="221">
        <f>IF(AL15=1,"0.00",IFERROR(IF($J$19-$AA$13&lt;0,0,$J$19-$AA$13),""))</f>
        <v>0</v>
      </c>
      <c r="X15" s="221"/>
      <c r="Y15" s="221"/>
      <c r="Z15" s="221"/>
      <c r="AA15" s="185" t="str">
        <f>IF($AM$14=0,"Units?",IF($AM$14=1,"ac",IF($AM$14=2,"sq-ft","Error")))</f>
        <v>Units?</v>
      </c>
      <c r="AB15" s="185"/>
      <c r="AD15" s="2" t="s">
        <v>50</v>
      </c>
      <c r="AE15" s="220">
        <f>AP14</f>
        <v>0</v>
      </c>
      <c r="AF15" s="220"/>
      <c r="AG15" s="220"/>
      <c r="AH15" s="220"/>
      <c r="AI15" s="185" t="s">
        <v>407</v>
      </c>
      <c r="AJ15" s="185"/>
      <c r="AL15" s="91">
        <f>IF(AND(J19=0,ISBLANK(AA13)),0,IF(OR(J19-AA13=0,J19-AA13&lt;0),1,2))</f>
        <v>0</v>
      </c>
      <c r="AM15" s="14" t="s">
        <v>411</v>
      </c>
      <c r="AV15" s="17">
        <f>AV14+1</f>
        <v>3</v>
      </c>
      <c r="AW15" s="22" t="s">
        <v>310</v>
      </c>
      <c r="AY15" s="21"/>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row>
    <row r="16" spans="2:99" ht="14.55" customHeight="1" x14ac:dyDescent="0.3">
      <c r="D16" s="2"/>
      <c r="E16" s="2"/>
      <c r="F16" s="2"/>
      <c r="G16" s="2"/>
      <c r="I16" s="2" t="s">
        <v>209</v>
      </c>
      <c r="J16" s="186"/>
      <c r="K16" s="186"/>
      <c r="L16" s="186"/>
      <c r="M16" s="186"/>
      <c r="N16" s="185" t="str">
        <f t="shared" si="0"/>
        <v>Units?</v>
      </c>
      <c r="O16" s="185"/>
      <c r="S16" s="22" t="s">
        <v>33</v>
      </c>
      <c r="AV16" s="17"/>
      <c r="AW16" s="22" t="s">
        <v>311</v>
      </c>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row>
    <row r="17" spans="2:88" ht="14.55" customHeight="1" x14ac:dyDescent="0.3">
      <c r="D17" s="2"/>
      <c r="E17" s="2"/>
      <c r="F17" s="2"/>
      <c r="G17" s="2"/>
      <c r="I17" s="2" t="s">
        <v>210</v>
      </c>
      <c r="J17" s="186"/>
      <c r="K17" s="186"/>
      <c r="L17" s="186"/>
      <c r="M17" s="186"/>
      <c r="N17" s="185" t="str">
        <f t="shared" si="0"/>
        <v>Units?</v>
      </c>
      <c r="O17" s="185"/>
      <c r="V17" s="2" t="s">
        <v>35</v>
      </c>
      <c r="W17" s="22" t="str">
        <f>"AIA acres X "&amp;Tables!G15&amp; " in X 3,630"</f>
        <v>AIA acres X 1.00 in X 3,630</v>
      </c>
      <c r="AV17" s="17">
        <f>AV15+1</f>
        <v>4</v>
      </c>
      <c r="AW17" s="22" t="s">
        <v>249</v>
      </c>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row>
    <row r="18" spans="2:88" ht="14.55" customHeight="1" thickBot="1" x14ac:dyDescent="0.35">
      <c r="D18" s="2"/>
      <c r="E18" s="2"/>
      <c r="F18" s="2"/>
      <c r="G18" s="2"/>
      <c r="I18" s="2" t="s">
        <v>211</v>
      </c>
      <c r="J18" s="219"/>
      <c r="K18" s="219"/>
      <c r="L18" s="219"/>
      <c r="M18" s="219"/>
      <c r="N18" s="185" t="str">
        <f t="shared" si="0"/>
        <v>Units?</v>
      </c>
      <c r="O18" s="185"/>
      <c r="V18" s="2" t="s">
        <v>35</v>
      </c>
      <c r="W18" s="220">
        <f>IF(AL15=1,"0.00",IFERROR(IF($J$19-$AA$13&lt;0,0,$AP$14),""))</f>
        <v>0</v>
      </c>
      <c r="X18" s="220"/>
      <c r="Y18" s="220"/>
      <c r="Z18" s="220"/>
      <c r="AA18" s="22" t="str">
        <f>"acres X "&amp;Tables!G15&amp;" in X 3,630"</f>
        <v>acres X 1.00 in X 3,630</v>
      </c>
      <c r="AV18" s="17"/>
      <c r="AW18" s="22" t="s">
        <v>250</v>
      </c>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row>
    <row r="19" spans="2:88" ht="14.55" customHeight="1" thickTop="1" x14ac:dyDescent="0.3">
      <c r="D19" s="2"/>
      <c r="E19" s="2"/>
      <c r="F19" s="2"/>
      <c r="G19" s="2"/>
      <c r="I19" s="2" t="s">
        <v>212</v>
      </c>
      <c r="J19" s="221">
        <f>IF(SUM($J$14:$J$18)=0,0,SUM($J$14:$J$18))</f>
        <v>0</v>
      </c>
      <c r="K19" s="221"/>
      <c r="L19" s="221"/>
      <c r="M19" s="221"/>
      <c r="N19" s="185" t="str">
        <f t="shared" si="0"/>
        <v>Units?</v>
      </c>
      <c r="O19" s="185"/>
      <c r="V19" s="2" t="s">
        <v>35</v>
      </c>
      <c r="W19" s="224">
        <f>IF(AL15=1,"0",IFERROR(ROUND(IF(AP14*Tables!F15*3630&lt;0,0,AP14*Tables!F15*3630),0),""))</f>
        <v>0</v>
      </c>
      <c r="X19" s="224"/>
      <c r="Y19" s="224"/>
      <c r="Z19" s="224"/>
      <c r="AA19" s="22" t="s">
        <v>34</v>
      </c>
      <c r="AV19" s="17"/>
      <c r="AW19" s="22" t="str">
        <f>"by the "&amp;Tables!$F$23&amp;" Engineer;"</f>
        <v>by the County Engineer;</v>
      </c>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row>
    <row r="20" spans="2:88" ht="15" customHeight="1" x14ac:dyDescent="0.3">
      <c r="AV20" s="17">
        <f>AV17+1</f>
        <v>5</v>
      </c>
      <c r="AW20" s="68" t="s">
        <v>251</v>
      </c>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row>
    <row r="21" spans="2:88" ht="15" customHeight="1" x14ac:dyDescent="0.3">
      <c r="B21" s="1" t="s">
        <v>3</v>
      </c>
      <c r="C21" s="1"/>
      <c r="D21" s="1"/>
      <c r="E21" s="1"/>
      <c r="F21" s="1"/>
      <c r="G21" s="1"/>
      <c r="H21" s="1"/>
      <c r="I21" s="1"/>
      <c r="X21" s="2" t="s">
        <v>362</v>
      </c>
      <c r="Y21" s="51"/>
      <c r="Z21" s="22" t="s">
        <v>363</v>
      </c>
      <c r="AB21" s="51"/>
      <c r="AC21" s="22" t="s">
        <v>364</v>
      </c>
      <c r="AE21" s="51"/>
      <c r="AF21" s="22" t="s">
        <v>365</v>
      </c>
      <c r="AH21" s="51"/>
      <c r="AI21" s="22" t="s">
        <v>366</v>
      </c>
      <c r="AL21" s="91">
        <f>IF(AND(ISBLANK(Y21),ISBLANK(AB21),ISBLANK(AE21),ISBLANK(AH21)),1,2)</f>
        <v>1</v>
      </c>
      <c r="AV21" s="17"/>
      <c r="AW21" s="68" t="str">
        <f>"pre-development hydrology for the "&amp;Tables!$F$28&amp;"-year 24-hour rainfall depths;"</f>
        <v>pre-development hydrology for the 2, 5, 10, 25, 50, and 100-year 24-hour rainfall depths;</v>
      </c>
      <c r="AY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row>
    <row r="22" spans="2:88" s="16" customFormat="1" ht="15" hidden="1" customHeight="1" x14ac:dyDescent="0.3">
      <c r="B22" s="140"/>
      <c r="C22" s="140"/>
      <c r="D22" s="140"/>
      <c r="E22" s="140"/>
      <c r="F22" s="140"/>
      <c r="G22" s="140"/>
      <c r="H22" s="140"/>
      <c r="I22" s="140"/>
      <c r="L22" s="91">
        <f>IF(ISBLANK(L23),1,2)</f>
        <v>1</v>
      </c>
      <c r="P22" s="91">
        <f>IF(ISBLANK(P23),1,2)</f>
        <v>1</v>
      </c>
      <c r="T22" s="91">
        <f>IF(ISBLANK(T23),1,2)</f>
        <v>1</v>
      </c>
      <c r="X22" s="91">
        <f>IF(ISBLANK(X23),1,2)</f>
        <v>1</v>
      </c>
      <c r="AB22" s="91">
        <f>IF(ISBLANK(AB23),1,2)</f>
        <v>1</v>
      </c>
    </row>
    <row r="23" spans="2:88" ht="14.55" customHeight="1" x14ac:dyDescent="0.3">
      <c r="I23" s="2"/>
      <c r="J23" s="2" t="s">
        <v>45</v>
      </c>
      <c r="K23" s="2"/>
      <c r="L23" s="217"/>
      <c r="M23" s="217"/>
      <c r="N23" s="217"/>
      <c r="P23" s="217"/>
      <c r="Q23" s="217"/>
      <c r="R23" s="217"/>
      <c r="T23" s="217"/>
      <c r="U23" s="217"/>
      <c r="V23" s="217"/>
      <c r="W23" s="4"/>
      <c r="X23" s="217"/>
      <c r="Y23" s="217"/>
      <c r="Z23" s="217"/>
      <c r="AB23" s="217"/>
      <c r="AC23" s="217"/>
      <c r="AD23" s="217"/>
      <c r="AE23" s="4"/>
      <c r="AF23" s="189" t="s">
        <v>13</v>
      </c>
      <c r="AG23" s="189"/>
      <c r="AH23" s="189"/>
      <c r="AI23" s="4"/>
      <c r="AJ23" s="4"/>
      <c r="AV23" s="17">
        <v>6</v>
      </c>
      <c r="AW23" s="22" t="s">
        <v>453</v>
      </c>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row>
    <row r="24" spans="2:88" ht="14.55" customHeight="1" x14ac:dyDescent="0.3">
      <c r="H24" s="2" t="s">
        <v>412</v>
      </c>
      <c r="I24" s="215" t="str">
        <f>IF($AM$14=0,"Units?",IF($AM$14=1,"(ac):",IF($AM$14=2,"(sq-ft):","Error")))</f>
        <v>Units?</v>
      </c>
      <c r="J24" s="215"/>
      <c r="K24" s="2"/>
      <c r="L24" s="186"/>
      <c r="M24" s="186"/>
      <c r="N24" s="186"/>
      <c r="P24" s="186"/>
      <c r="Q24" s="186"/>
      <c r="R24" s="186"/>
      <c r="T24" s="186"/>
      <c r="U24" s="186"/>
      <c r="V24" s="186"/>
      <c r="W24" s="4"/>
      <c r="X24" s="186"/>
      <c r="Y24" s="186"/>
      <c r="Z24" s="186"/>
      <c r="AB24" s="186"/>
      <c r="AC24" s="186"/>
      <c r="AD24" s="186"/>
      <c r="AE24" s="4"/>
      <c r="AF24" s="191"/>
      <c r="AG24" s="191"/>
      <c r="AH24" s="191"/>
      <c r="AI24" s="4"/>
      <c r="AJ24" s="4"/>
      <c r="AW24" s="4" t="s">
        <v>90</v>
      </c>
      <c r="AX24" s="22" t="str">
        <f>"Obtain "&amp;Tables!F37&amp;" for the adjacent property"</f>
        <v>Obtain Drainage Rights for the adjacent property</v>
      </c>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row>
    <row r="25" spans="2:88" ht="14.55" customHeight="1" x14ac:dyDescent="0.3">
      <c r="I25" s="2"/>
      <c r="J25" s="2" t="s">
        <v>4</v>
      </c>
      <c r="K25" s="2"/>
      <c r="L25" s="216"/>
      <c r="M25" s="216"/>
      <c r="N25" s="216"/>
      <c r="P25" s="214"/>
      <c r="Q25" s="214"/>
      <c r="R25" s="214"/>
      <c r="S25" s="64"/>
      <c r="T25" s="214"/>
      <c r="U25" s="214"/>
      <c r="V25" s="214"/>
      <c r="W25" s="4"/>
      <c r="X25" s="214"/>
      <c r="Y25" s="214"/>
      <c r="Z25" s="214"/>
      <c r="AB25" s="214"/>
      <c r="AC25" s="214"/>
      <c r="AD25" s="214"/>
      <c r="AE25" s="4"/>
      <c r="AF25" s="130"/>
      <c r="AG25" s="130"/>
      <c r="AH25" s="130"/>
      <c r="AI25" s="4"/>
      <c r="AJ25" s="4"/>
      <c r="AW25" s="4" t="s">
        <v>91</v>
      </c>
      <c r="AX25" s="22" t="str">
        <f>"If "&amp;Tables!F37&amp;" cannot be obtained, size the detention pond to attenuate the"</f>
        <v>If Drainage Rights cannot be obtained, size the detention pond to attenuate the</v>
      </c>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row>
    <row r="26" spans="2:88" ht="14.55" customHeight="1" x14ac:dyDescent="0.3">
      <c r="I26" s="2"/>
      <c r="J26" s="2" t="s">
        <v>48</v>
      </c>
      <c r="K26" s="2"/>
      <c r="L26" s="209"/>
      <c r="M26" s="209"/>
      <c r="N26" s="209"/>
      <c r="P26" s="211"/>
      <c r="Q26" s="211"/>
      <c r="R26" s="211"/>
      <c r="S26" s="26"/>
      <c r="T26" s="211"/>
      <c r="U26" s="211"/>
      <c r="V26" s="211"/>
      <c r="W26" s="4"/>
      <c r="X26" s="211"/>
      <c r="Y26" s="211"/>
      <c r="Z26" s="211"/>
      <c r="AB26" s="211"/>
      <c r="AC26" s="211"/>
      <c r="AD26" s="211"/>
      <c r="AE26" s="4"/>
      <c r="AF26" s="26"/>
      <c r="AG26" s="26"/>
      <c r="AH26" s="26"/>
      <c r="AI26" s="4"/>
      <c r="AJ26" s="4"/>
      <c r="AL26" s="98">
        <f>SUM(AL27:AL32)</f>
        <v>0</v>
      </c>
      <c r="AM26" s="91">
        <f>SUM(AM27:AM32)</f>
        <v>0</v>
      </c>
      <c r="AN26" s="14" t="s">
        <v>13</v>
      </c>
      <c r="AX26" s="68" t="str">
        <f>"post-development peak discharges for the "&amp;AR122&amp;"-year to be less than the"</f>
        <v>post-development peak discharges for the 2, 5, 10, 25, 50, and 100-year to be less than the</v>
      </c>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row>
    <row r="27" spans="2:88" ht="14.55" customHeight="1" x14ac:dyDescent="0.3">
      <c r="D27" s="227" t="s">
        <v>367</v>
      </c>
      <c r="E27" s="227"/>
      <c r="F27" s="202">
        <f>Tables!$F$16</f>
        <v>6.02</v>
      </c>
      <c r="G27" s="202"/>
      <c r="H27" s="26"/>
      <c r="J27" s="2" t="str">
        <f>Tables!$D$16</f>
        <v>(2-yr)</v>
      </c>
      <c r="K27" s="2"/>
      <c r="L27" s="218"/>
      <c r="M27" s="191"/>
      <c r="N27" s="191"/>
      <c r="P27" s="191"/>
      <c r="Q27" s="191"/>
      <c r="R27" s="191"/>
      <c r="S27" s="34"/>
      <c r="T27" s="191"/>
      <c r="U27" s="191"/>
      <c r="V27" s="191"/>
      <c r="W27" s="4"/>
      <c r="X27" s="191"/>
      <c r="Y27" s="191"/>
      <c r="Z27" s="191"/>
      <c r="AB27" s="191"/>
      <c r="AC27" s="191"/>
      <c r="AD27" s="191"/>
      <c r="AE27" s="4"/>
      <c r="AF27" s="191"/>
      <c r="AG27" s="191"/>
      <c r="AH27" s="191"/>
      <c r="AI27" s="4"/>
      <c r="AJ27" s="4"/>
      <c r="AL27" s="91">
        <f t="shared" ref="AL27:AL32" si="1">IF(AF27=0,0,1)</f>
        <v>0</v>
      </c>
      <c r="AM27" s="91">
        <f t="shared" ref="AM27:AM32" si="2">IF(ISBLANK(AF27),0,1)</f>
        <v>0</v>
      </c>
      <c r="AX27" s="68" t="str">
        <f>"pre-development peak discharge(s) for the "&amp;AS122&amp;"-year storm event(s)"</f>
        <v>pre-development peak discharge(s) for the 2, 5, 10, 25, 50, and 100-year storm event(s)</v>
      </c>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row>
    <row r="28" spans="2:88" ht="14.55" customHeight="1" x14ac:dyDescent="0.3">
      <c r="D28" s="227"/>
      <c r="E28" s="227"/>
      <c r="F28" s="202">
        <f>Tables!$F$17</f>
        <v>7.68</v>
      </c>
      <c r="G28" s="202"/>
      <c r="H28" s="26"/>
      <c r="J28" s="2" t="str">
        <f>Tables!$D$17</f>
        <v>(5-yr)</v>
      </c>
      <c r="K28" s="2"/>
      <c r="L28" s="191"/>
      <c r="M28" s="191"/>
      <c r="N28" s="191"/>
      <c r="P28" s="191"/>
      <c r="Q28" s="191"/>
      <c r="R28" s="191"/>
      <c r="S28" s="34"/>
      <c r="T28" s="186"/>
      <c r="U28" s="186"/>
      <c r="V28" s="186"/>
      <c r="W28" s="4"/>
      <c r="X28" s="186"/>
      <c r="Y28" s="186"/>
      <c r="Z28" s="186"/>
      <c r="AB28" s="186"/>
      <c r="AC28" s="186"/>
      <c r="AD28" s="186"/>
      <c r="AE28" s="4"/>
      <c r="AF28" s="186"/>
      <c r="AG28" s="186"/>
      <c r="AH28" s="186"/>
      <c r="AI28" s="4"/>
      <c r="AJ28" s="4"/>
      <c r="AL28" s="91">
        <f t="shared" si="1"/>
        <v>0</v>
      </c>
      <c r="AM28" s="91">
        <f t="shared" si="2"/>
        <v>0</v>
      </c>
      <c r="AV28" s="17">
        <f>AV23+1</f>
        <v>7</v>
      </c>
      <c r="AW28" s="22" t="s">
        <v>312</v>
      </c>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row>
    <row r="29" spans="2:88" ht="14.55" customHeight="1" x14ac:dyDescent="0.3">
      <c r="D29" s="227"/>
      <c r="E29" s="227"/>
      <c r="F29" s="202">
        <f>Tables!$F$18</f>
        <v>9.26</v>
      </c>
      <c r="G29" s="202"/>
      <c r="H29" s="26"/>
      <c r="J29" s="2" t="str">
        <f>Tables!$D$18</f>
        <v>(10-yr)</v>
      </c>
      <c r="K29" s="2"/>
      <c r="L29" s="191"/>
      <c r="M29" s="191"/>
      <c r="N29" s="191"/>
      <c r="P29" s="186"/>
      <c r="Q29" s="186"/>
      <c r="R29" s="186"/>
      <c r="S29" s="34"/>
      <c r="T29" s="186"/>
      <c r="U29" s="186"/>
      <c r="V29" s="186"/>
      <c r="W29" s="4"/>
      <c r="X29" s="186"/>
      <c r="Y29" s="186"/>
      <c r="Z29" s="186"/>
      <c r="AB29" s="186"/>
      <c r="AC29" s="186"/>
      <c r="AD29" s="186"/>
      <c r="AE29" s="4"/>
      <c r="AF29" s="186"/>
      <c r="AG29" s="186"/>
      <c r="AH29" s="186"/>
      <c r="AI29" s="4"/>
      <c r="AJ29" s="4"/>
      <c r="AL29" s="91">
        <f t="shared" si="1"/>
        <v>0</v>
      </c>
      <c r="AM29" s="91">
        <f t="shared" si="2"/>
        <v>0</v>
      </c>
      <c r="AW29" s="22" t="s">
        <v>313</v>
      </c>
      <c r="AY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row>
    <row r="30" spans="2:88" ht="14.55" customHeight="1" x14ac:dyDescent="0.3">
      <c r="D30" s="227"/>
      <c r="E30" s="227"/>
      <c r="F30" s="202">
        <f>Tables!$F$19</f>
        <v>11.7</v>
      </c>
      <c r="G30" s="202"/>
      <c r="H30" s="26"/>
      <c r="J30" s="2" t="str">
        <f>Tables!$D$19</f>
        <v>(25-yr)</v>
      </c>
      <c r="K30" s="2"/>
      <c r="L30" s="191"/>
      <c r="M30" s="191"/>
      <c r="N30" s="191"/>
      <c r="P30" s="186"/>
      <c r="Q30" s="186"/>
      <c r="R30" s="186"/>
      <c r="S30" s="34"/>
      <c r="T30" s="186"/>
      <c r="U30" s="186"/>
      <c r="V30" s="186"/>
      <c r="W30" s="4"/>
      <c r="X30" s="186"/>
      <c r="Y30" s="186"/>
      <c r="Z30" s="186"/>
      <c r="AB30" s="186"/>
      <c r="AC30" s="186"/>
      <c r="AD30" s="186"/>
      <c r="AE30" s="4"/>
      <c r="AF30" s="186"/>
      <c r="AG30" s="186"/>
      <c r="AH30" s="186"/>
      <c r="AI30" s="4"/>
      <c r="AJ30" s="4"/>
      <c r="AL30" s="91">
        <f t="shared" si="1"/>
        <v>0</v>
      </c>
      <c r="AM30" s="91">
        <f t="shared" si="2"/>
        <v>0</v>
      </c>
      <c r="AW30" s="22" t="s">
        <v>252</v>
      </c>
      <c r="AY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row>
    <row r="31" spans="2:88" ht="14.55" customHeight="1" x14ac:dyDescent="0.3">
      <c r="D31" s="227"/>
      <c r="E31" s="227"/>
      <c r="F31" s="202">
        <f>Tables!$F$20</f>
        <v>13.9</v>
      </c>
      <c r="G31" s="202"/>
      <c r="H31" s="26"/>
      <c r="J31" s="2" t="str">
        <f>Tables!$D$20</f>
        <v>(50-yr)</v>
      </c>
      <c r="K31" s="2"/>
      <c r="L31" s="191"/>
      <c r="M31" s="191"/>
      <c r="N31" s="191"/>
      <c r="P31" s="186"/>
      <c r="Q31" s="186"/>
      <c r="R31" s="186"/>
      <c r="S31" s="34"/>
      <c r="T31" s="186"/>
      <c r="U31" s="186"/>
      <c r="V31" s="186"/>
      <c r="W31" s="4"/>
      <c r="X31" s="186"/>
      <c r="Y31" s="186"/>
      <c r="Z31" s="186"/>
      <c r="AB31" s="186"/>
      <c r="AC31" s="186"/>
      <c r="AD31" s="186"/>
      <c r="AE31" s="4"/>
      <c r="AF31" s="186"/>
      <c r="AG31" s="186"/>
      <c r="AH31" s="186"/>
      <c r="AI31" s="4"/>
      <c r="AJ31" s="4"/>
      <c r="AL31" s="91">
        <f t="shared" si="1"/>
        <v>0</v>
      </c>
      <c r="AM31" s="91">
        <f t="shared" si="2"/>
        <v>0</v>
      </c>
      <c r="AV31" s="17">
        <f>AV28+1</f>
        <v>8</v>
      </c>
      <c r="AW31" s="22" t="s">
        <v>253</v>
      </c>
      <c r="AY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row>
    <row r="32" spans="2:88" ht="14.55" customHeight="1" x14ac:dyDescent="0.3">
      <c r="D32" s="227"/>
      <c r="E32" s="227"/>
      <c r="F32" s="202">
        <f>Tables!$F$21</f>
        <v>16.3</v>
      </c>
      <c r="G32" s="202"/>
      <c r="H32" s="26"/>
      <c r="J32" s="2" t="str">
        <f>Tables!$D$21</f>
        <v>(100-yr)</v>
      </c>
      <c r="K32" s="2"/>
      <c r="L32" s="191"/>
      <c r="M32" s="191"/>
      <c r="N32" s="191"/>
      <c r="P32" s="186"/>
      <c r="Q32" s="186"/>
      <c r="R32" s="186"/>
      <c r="S32" s="34"/>
      <c r="T32" s="186"/>
      <c r="U32" s="186"/>
      <c r="V32" s="186"/>
      <c r="W32" s="4"/>
      <c r="X32" s="186"/>
      <c r="Y32" s="186"/>
      <c r="Z32" s="186"/>
      <c r="AB32" s="186"/>
      <c r="AC32" s="186"/>
      <c r="AD32" s="186"/>
      <c r="AE32" s="4"/>
      <c r="AF32" s="186"/>
      <c r="AG32" s="186"/>
      <c r="AH32" s="186"/>
      <c r="AI32" s="4"/>
      <c r="AJ32" s="4"/>
      <c r="AL32" s="91">
        <f t="shared" si="1"/>
        <v>0</v>
      </c>
      <c r="AM32" s="91">
        <f t="shared" si="2"/>
        <v>0</v>
      </c>
      <c r="AW32" s="22" t="s">
        <v>254</v>
      </c>
      <c r="AY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row>
    <row r="33" spans="2:88" ht="15" customHeight="1" x14ac:dyDescent="0.3">
      <c r="AL33" s="16"/>
      <c r="AM33" s="16"/>
      <c r="AV33" s="17">
        <f>AV31+1</f>
        <v>9</v>
      </c>
      <c r="AW33" s="22" t="s">
        <v>568</v>
      </c>
      <c r="AY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row>
    <row r="34" spans="2:88" ht="15" customHeight="1" x14ac:dyDescent="0.3">
      <c r="B34" s="1" t="s">
        <v>11</v>
      </c>
      <c r="C34" s="1"/>
      <c r="D34" s="1"/>
      <c r="E34" s="1"/>
      <c r="F34" s="1"/>
      <c r="G34" s="1"/>
      <c r="H34" s="1"/>
      <c r="I34" s="1"/>
      <c r="AV34" s="17"/>
      <c r="AW34" s="22" t="s">
        <v>567</v>
      </c>
      <c r="AY34" s="21"/>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row>
    <row r="35" spans="2:88" s="16" customFormat="1" ht="15" hidden="1" customHeight="1" x14ac:dyDescent="0.3">
      <c r="B35" s="140"/>
      <c r="C35" s="140"/>
      <c r="D35" s="140"/>
      <c r="E35" s="140"/>
      <c r="F35" s="140"/>
      <c r="G35" s="140"/>
      <c r="H35" s="140"/>
      <c r="I35" s="140"/>
      <c r="L35" s="91">
        <f>IF(ISBLANK(L36),1,2)</f>
        <v>1</v>
      </c>
      <c r="P35" s="91">
        <f>IF(ISBLANK(P36),1,2)</f>
        <v>1</v>
      </c>
      <c r="T35" s="91">
        <f>IF(ISBLANK(T36),1,2)</f>
        <v>1</v>
      </c>
      <c r="X35" s="91">
        <f>IF(ISBLANK(X36),1,2)</f>
        <v>1</v>
      </c>
      <c r="AB35" s="91">
        <f>IF(ISBLANK(AB36),1,2)</f>
        <v>1</v>
      </c>
    </row>
    <row r="36" spans="2:88" ht="14.55" customHeight="1" x14ac:dyDescent="0.3">
      <c r="I36" s="2"/>
      <c r="J36" s="2" t="s">
        <v>45</v>
      </c>
      <c r="K36" s="2"/>
      <c r="L36" s="217"/>
      <c r="M36" s="217"/>
      <c r="N36" s="217"/>
      <c r="P36" s="217"/>
      <c r="Q36" s="217"/>
      <c r="R36" s="217"/>
      <c r="S36" s="4"/>
      <c r="T36" s="217"/>
      <c r="U36" s="217"/>
      <c r="V36" s="217"/>
      <c r="W36" s="4"/>
      <c r="X36" s="217"/>
      <c r="Y36" s="217"/>
      <c r="Z36" s="217"/>
      <c r="AB36" s="217"/>
      <c r="AC36" s="217"/>
      <c r="AD36" s="217"/>
      <c r="AE36" s="4"/>
      <c r="AG36" s="4" t="s">
        <v>12</v>
      </c>
      <c r="AH36" s="4"/>
      <c r="AI36" s="4"/>
      <c r="AJ36" s="4"/>
      <c r="AV36" s="17">
        <f>AV33+1</f>
        <v>10</v>
      </c>
      <c r="AW36" s="22" t="s">
        <v>314</v>
      </c>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row>
    <row r="37" spans="2:88" ht="14.55" customHeight="1" x14ac:dyDescent="0.3">
      <c r="H37" s="2" t="s">
        <v>412</v>
      </c>
      <c r="I37" s="215" t="str">
        <f>IF($AM$14=0,"Units?",IF($AM$14=1,"(ac):",IF($AM$14=2,"(sq-ft):","Error")))</f>
        <v>Units?</v>
      </c>
      <c r="J37" s="215"/>
      <c r="K37" s="2"/>
      <c r="L37" s="191"/>
      <c r="M37" s="191"/>
      <c r="N37" s="191"/>
      <c r="P37" s="186"/>
      <c r="Q37" s="186"/>
      <c r="R37" s="186"/>
      <c r="S37" s="4"/>
      <c r="T37" s="186"/>
      <c r="U37" s="186"/>
      <c r="V37" s="186"/>
      <c r="W37" s="4"/>
      <c r="X37" s="186"/>
      <c r="Y37" s="186"/>
      <c r="Z37" s="186"/>
      <c r="AB37" s="186"/>
      <c r="AC37" s="186"/>
      <c r="AD37" s="186"/>
      <c r="AE37" s="4"/>
      <c r="AF37" s="191"/>
      <c r="AG37" s="191"/>
      <c r="AH37" s="191"/>
      <c r="AI37" s="4"/>
      <c r="AJ37" s="4"/>
      <c r="AV37" s="17"/>
      <c r="AW37" s="22" t="s">
        <v>417</v>
      </c>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row>
    <row r="38" spans="2:88" ht="14.55" customHeight="1" x14ac:dyDescent="0.3">
      <c r="I38" s="2"/>
      <c r="J38" s="2" t="s">
        <v>4</v>
      </c>
      <c r="K38" s="2"/>
      <c r="L38" s="216"/>
      <c r="M38" s="216"/>
      <c r="N38" s="216"/>
      <c r="P38" s="214"/>
      <c r="Q38" s="214"/>
      <c r="R38" s="214"/>
      <c r="S38" s="4"/>
      <c r="T38" s="214"/>
      <c r="U38" s="214"/>
      <c r="V38" s="214"/>
      <c r="W38" s="4"/>
      <c r="X38" s="214"/>
      <c r="Y38" s="214"/>
      <c r="Z38" s="214"/>
      <c r="AB38" s="214"/>
      <c r="AC38" s="214"/>
      <c r="AD38" s="214"/>
      <c r="AE38" s="4"/>
      <c r="AF38" s="130"/>
      <c r="AG38" s="130"/>
      <c r="AH38" s="130"/>
      <c r="AI38" s="4"/>
      <c r="AJ38" s="4"/>
      <c r="AW38" s="22" t="s">
        <v>418</v>
      </c>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row>
    <row r="39" spans="2:88" ht="14.55" customHeight="1" x14ac:dyDescent="0.3">
      <c r="I39" s="2"/>
      <c r="J39" s="2" t="s">
        <v>48</v>
      </c>
      <c r="K39" s="2"/>
      <c r="L39" s="209"/>
      <c r="M39" s="209"/>
      <c r="N39" s="209"/>
      <c r="P39" s="211"/>
      <c r="Q39" s="211"/>
      <c r="R39" s="211"/>
      <c r="S39" s="4"/>
      <c r="T39" s="211"/>
      <c r="U39" s="211"/>
      <c r="V39" s="211"/>
      <c r="W39" s="4"/>
      <c r="X39" s="211"/>
      <c r="Y39" s="211"/>
      <c r="Z39" s="211"/>
      <c r="AB39" s="211"/>
      <c r="AC39" s="211"/>
      <c r="AD39" s="211"/>
      <c r="AE39" s="4"/>
      <c r="AF39" s="26"/>
      <c r="AG39" s="26"/>
      <c r="AH39" s="26"/>
      <c r="AI39" s="4"/>
      <c r="AJ39" s="4"/>
      <c r="AL39" s="98">
        <f>SUM(AL40:AL45)</f>
        <v>0</v>
      </c>
      <c r="AM39" s="91">
        <f>SUM(AM40:AM45)</f>
        <v>0</v>
      </c>
      <c r="AN39" s="14" t="s">
        <v>12</v>
      </c>
      <c r="AV39" s="17">
        <f>AV36+1</f>
        <v>11</v>
      </c>
      <c r="AW39" s="22" t="s">
        <v>430</v>
      </c>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row>
    <row r="40" spans="2:88" ht="14.55" customHeight="1" x14ac:dyDescent="0.3">
      <c r="D40" s="227" t="s">
        <v>367</v>
      </c>
      <c r="E40" s="227"/>
      <c r="F40" s="202">
        <f>Tables!$F$16</f>
        <v>6.02</v>
      </c>
      <c r="G40" s="202"/>
      <c r="H40" s="26"/>
      <c r="J40" s="2" t="str">
        <f>Tables!$D$16</f>
        <v>(2-yr)</v>
      </c>
      <c r="K40" s="2"/>
      <c r="L40" s="191"/>
      <c r="M40" s="191"/>
      <c r="N40" s="191"/>
      <c r="P40" s="191"/>
      <c r="Q40" s="191"/>
      <c r="R40" s="191"/>
      <c r="S40" s="4"/>
      <c r="T40" s="191"/>
      <c r="U40" s="191"/>
      <c r="V40" s="191"/>
      <c r="W40" s="4"/>
      <c r="X40" s="191"/>
      <c r="Y40" s="191"/>
      <c r="Z40" s="191"/>
      <c r="AB40" s="191"/>
      <c r="AC40" s="191"/>
      <c r="AD40" s="191"/>
      <c r="AE40" s="4"/>
      <c r="AF40" s="191"/>
      <c r="AG40" s="191"/>
      <c r="AH40" s="191"/>
      <c r="AI40" s="4"/>
      <c r="AJ40" s="4"/>
      <c r="AL40" s="91">
        <f t="shared" ref="AL40:AL45" si="3">IF(AF40=0,0,1)</f>
        <v>0</v>
      </c>
      <c r="AM40" s="91">
        <f t="shared" ref="AM40:AM45" si="4">IF(ISBLANK(AF40),0,1)</f>
        <v>0</v>
      </c>
      <c r="AW40" s="22" t="s">
        <v>425</v>
      </c>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row>
    <row r="41" spans="2:88" ht="14.55" customHeight="1" x14ac:dyDescent="0.3">
      <c r="D41" s="227"/>
      <c r="E41" s="227"/>
      <c r="F41" s="202">
        <f>Tables!$F$17</f>
        <v>7.68</v>
      </c>
      <c r="G41" s="202"/>
      <c r="H41" s="26"/>
      <c r="J41" s="2" t="str">
        <f>Tables!$D$17</f>
        <v>(5-yr)</v>
      </c>
      <c r="K41" s="2"/>
      <c r="L41" s="191"/>
      <c r="M41" s="191"/>
      <c r="N41" s="191"/>
      <c r="P41" s="186"/>
      <c r="Q41" s="186"/>
      <c r="R41" s="186"/>
      <c r="S41" s="4"/>
      <c r="T41" s="186"/>
      <c r="U41" s="186"/>
      <c r="V41" s="186"/>
      <c r="W41" s="4"/>
      <c r="X41" s="186"/>
      <c r="Y41" s="186"/>
      <c r="Z41" s="186"/>
      <c r="AB41" s="186"/>
      <c r="AC41" s="186"/>
      <c r="AD41" s="186"/>
      <c r="AE41" s="4"/>
      <c r="AF41" s="186"/>
      <c r="AG41" s="186"/>
      <c r="AH41" s="186"/>
      <c r="AI41" s="4"/>
      <c r="AJ41" s="4"/>
      <c r="AL41" s="91">
        <f t="shared" si="3"/>
        <v>0</v>
      </c>
      <c r="AM41" s="91">
        <f t="shared" si="4"/>
        <v>0</v>
      </c>
      <c r="AW41" s="22" t="s">
        <v>426</v>
      </c>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row>
    <row r="42" spans="2:88" ht="14.55" customHeight="1" x14ac:dyDescent="0.3">
      <c r="D42" s="227"/>
      <c r="E42" s="227"/>
      <c r="F42" s="202">
        <f>Tables!$F$18</f>
        <v>9.26</v>
      </c>
      <c r="G42" s="202"/>
      <c r="H42" s="26"/>
      <c r="J42" s="2" t="str">
        <f>Tables!$D$18</f>
        <v>(10-yr)</v>
      </c>
      <c r="K42" s="2"/>
      <c r="L42" s="191"/>
      <c r="M42" s="191"/>
      <c r="N42" s="191"/>
      <c r="P42" s="186"/>
      <c r="Q42" s="186"/>
      <c r="R42" s="186"/>
      <c r="S42" s="4"/>
      <c r="T42" s="186"/>
      <c r="U42" s="186"/>
      <c r="V42" s="186"/>
      <c r="W42" s="4"/>
      <c r="X42" s="186"/>
      <c r="Y42" s="186"/>
      <c r="Z42" s="186"/>
      <c r="AB42" s="186"/>
      <c r="AC42" s="186"/>
      <c r="AD42" s="186"/>
      <c r="AE42" s="4"/>
      <c r="AF42" s="186"/>
      <c r="AG42" s="186"/>
      <c r="AH42" s="186"/>
      <c r="AI42" s="4"/>
      <c r="AJ42" s="4"/>
      <c r="AL42" s="91">
        <f t="shared" si="3"/>
        <v>0</v>
      </c>
      <c r="AM42" s="91">
        <f t="shared" si="4"/>
        <v>0</v>
      </c>
      <c r="AV42" s="17"/>
      <c r="AW42" s="22" t="s">
        <v>427</v>
      </c>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row>
    <row r="43" spans="2:88" ht="14.55" customHeight="1" x14ac:dyDescent="0.3">
      <c r="D43" s="227"/>
      <c r="E43" s="227"/>
      <c r="F43" s="202">
        <f>Tables!$F$19</f>
        <v>11.7</v>
      </c>
      <c r="G43" s="202"/>
      <c r="H43" s="26"/>
      <c r="J43" s="2" t="str">
        <f>Tables!$D$19</f>
        <v>(25-yr)</v>
      </c>
      <c r="K43" s="2"/>
      <c r="L43" s="191"/>
      <c r="M43" s="191"/>
      <c r="N43" s="191"/>
      <c r="P43" s="186"/>
      <c r="Q43" s="186"/>
      <c r="R43" s="186"/>
      <c r="S43" s="4"/>
      <c r="T43" s="186"/>
      <c r="U43" s="186"/>
      <c r="V43" s="186"/>
      <c r="W43" s="4"/>
      <c r="X43" s="186"/>
      <c r="Y43" s="186"/>
      <c r="Z43" s="186"/>
      <c r="AB43" s="186"/>
      <c r="AC43" s="186"/>
      <c r="AD43" s="186"/>
      <c r="AE43" s="4"/>
      <c r="AF43" s="186"/>
      <c r="AG43" s="186"/>
      <c r="AH43" s="186"/>
      <c r="AI43" s="4"/>
      <c r="AJ43" s="4"/>
      <c r="AL43" s="91">
        <f t="shared" si="3"/>
        <v>0</v>
      </c>
      <c r="AM43" s="91">
        <f t="shared" si="4"/>
        <v>0</v>
      </c>
      <c r="AV43" s="17">
        <f>AV39+1</f>
        <v>12</v>
      </c>
      <c r="AW43" s="22" t="s">
        <v>286</v>
      </c>
      <c r="AZ43" s="21"/>
      <c r="BA43" s="21"/>
    </row>
    <row r="44" spans="2:88" ht="14.55" customHeight="1" x14ac:dyDescent="0.3">
      <c r="D44" s="227"/>
      <c r="E44" s="227"/>
      <c r="F44" s="202">
        <f>Tables!$F$20</f>
        <v>13.9</v>
      </c>
      <c r="G44" s="202"/>
      <c r="H44" s="26"/>
      <c r="J44" s="2" t="str">
        <f>Tables!$D$20</f>
        <v>(50-yr)</v>
      </c>
      <c r="K44" s="2"/>
      <c r="L44" s="191"/>
      <c r="M44" s="191"/>
      <c r="N44" s="191"/>
      <c r="P44" s="186"/>
      <c r="Q44" s="186"/>
      <c r="R44" s="186"/>
      <c r="S44" s="4"/>
      <c r="T44" s="186"/>
      <c r="U44" s="186"/>
      <c r="V44" s="186"/>
      <c r="W44" s="4"/>
      <c r="X44" s="186"/>
      <c r="Y44" s="186"/>
      <c r="Z44" s="186"/>
      <c r="AB44" s="186"/>
      <c r="AC44" s="186"/>
      <c r="AD44" s="186"/>
      <c r="AE44" s="4"/>
      <c r="AF44" s="186"/>
      <c r="AG44" s="186"/>
      <c r="AH44" s="186"/>
      <c r="AI44" s="4"/>
      <c r="AJ44" s="4"/>
      <c r="AL44" s="91">
        <f t="shared" si="3"/>
        <v>0</v>
      </c>
      <c r="AM44" s="91">
        <f t="shared" si="4"/>
        <v>0</v>
      </c>
      <c r="AV44" s="17">
        <f>AV43+1</f>
        <v>13</v>
      </c>
      <c r="AW44" s="22" t="s">
        <v>294</v>
      </c>
      <c r="AZ44" s="21"/>
      <c r="BA44" s="21"/>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row>
    <row r="45" spans="2:88" ht="14.55" customHeight="1" x14ac:dyDescent="0.3">
      <c r="D45" s="227"/>
      <c r="E45" s="227"/>
      <c r="F45" s="202">
        <f>Tables!$F$21</f>
        <v>16.3</v>
      </c>
      <c r="G45" s="202"/>
      <c r="H45" s="26"/>
      <c r="J45" s="2" t="str">
        <f>Tables!$D$21</f>
        <v>(100-yr)</v>
      </c>
      <c r="K45" s="2"/>
      <c r="L45" s="191"/>
      <c r="M45" s="191"/>
      <c r="N45" s="191"/>
      <c r="P45" s="186"/>
      <c r="Q45" s="186"/>
      <c r="R45" s="186"/>
      <c r="S45" s="4"/>
      <c r="T45" s="186"/>
      <c r="U45" s="186"/>
      <c r="V45" s="186"/>
      <c r="W45" s="4"/>
      <c r="X45" s="186"/>
      <c r="Y45" s="186"/>
      <c r="Z45" s="186"/>
      <c r="AB45" s="186"/>
      <c r="AC45" s="186"/>
      <c r="AD45" s="186"/>
      <c r="AE45" s="4"/>
      <c r="AF45" s="186"/>
      <c r="AG45" s="186"/>
      <c r="AH45" s="186"/>
      <c r="AI45" s="4"/>
      <c r="AJ45" s="4"/>
      <c r="AL45" s="91">
        <f t="shared" si="3"/>
        <v>0</v>
      </c>
      <c r="AM45" s="91">
        <f t="shared" si="4"/>
        <v>0</v>
      </c>
      <c r="AW45" s="4" t="s">
        <v>90</v>
      </c>
      <c r="AX45" s="22" t="s">
        <v>295</v>
      </c>
      <c r="AZ45" s="65"/>
      <c r="BA45" s="21"/>
    </row>
    <row r="46" spans="2:88" ht="15" customHeight="1" x14ac:dyDescent="0.3">
      <c r="AK46" s="26"/>
      <c r="AW46" s="4" t="s">
        <v>91</v>
      </c>
      <c r="AX46" s="22" t="s">
        <v>296</v>
      </c>
      <c r="BA46" s="21"/>
    </row>
    <row r="47" spans="2:88" ht="15" customHeight="1" x14ac:dyDescent="0.3">
      <c r="AK47" s="26"/>
      <c r="AW47" s="4" t="s">
        <v>103</v>
      </c>
      <c r="AX47" s="22" t="s">
        <v>297</v>
      </c>
      <c r="AY47" s="21"/>
      <c r="BA47" s="21"/>
    </row>
    <row r="48" spans="2:88" ht="15" customHeight="1" x14ac:dyDescent="0.3">
      <c r="AK48" s="26"/>
      <c r="AW48" s="4" t="s">
        <v>104</v>
      </c>
      <c r="AX48" s="22" t="s">
        <v>298</v>
      </c>
      <c r="AY48" s="105"/>
      <c r="BA48" s="21"/>
    </row>
    <row r="49" spans="2:88" ht="15" customHeight="1" x14ac:dyDescent="0.3">
      <c r="AK49" s="26"/>
      <c r="AW49" s="4" t="s">
        <v>102</v>
      </c>
      <c r="AX49" s="22" t="s">
        <v>299</v>
      </c>
      <c r="BA49" s="21"/>
    </row>
    <row r="50" spans="2:88" ht="15" customHeight="1" x14ac:dyDescent="0.3">
      <c r="AK50" s="26"/>
      <c r="AW50" s="4" t="s">
        <v>105</v>
      </c>
      <c r="AX50" s="22" t="s">
        <v>300</v>
      </c>
      <c r="AY50" s="21"/>
      <c r="BA50" s="21"/>
    </row>
    <row r="51" spans="2:88" ht="15" customHeight="1" x14ac:dyDescent="0.3">
      <c r="AW51" s="4" t="s">
        <v>291</v>
      </c>
      <c r="AX51" s="22" t="s">
        <v>301</v>
      </c>
      <c r="AY51" s="21"/>
      <c r="AZ51" s="21"/>
      <c r="BA51" s="21"/>
    </row>
    <row r="52" spans="2:88" ht="15" customHeight="1" x14ac:dyDescent="0.3">
      <c r="J52" s="2"/>
      <c r="K52" s="113"/>
      <c r="N52" s="113"/>
      <c r="V52" s="2"/>
      <c r="W52" s="113"/>
      <c r="Z52" s="113"/>
      <c r="AW52" s="4" t="s">
        <v>302</v>
      </c>
      <c r="AX52" s="22" t="s">
        <v>303</v>
      </c>
      <c r="AY52" s="21"/>
      <c r="AZ52" s="21"/>
      <c r="BA52" s="21"/>
    </row>
    <row r="53" spans="2:88" ht="15" customHeight="1" x14ac:dyDescent="0.3">
      <c r="B53" s="203">
        <f>Tables!$F$13</f>
        <v>45931</v>
      </c>
      <c r="C53" s="203"/>
      <c r="D53" s="203"/>
      <c r="E53" s="203"/>
      <c r="F53" s="203"/>
      <c r="G53" s="203"/>
      <c r="H53" s="203"/>
      <c r="R53" s="189" t="s">
        <v>223</v>
      </c>
      <c r="S53" s="189"/>
      <c r="T53" s="189"/>
      <c r="U53" s="189"/>
      <c r="AK53" s="26"/>
      <c r="AV53" s="17">
        <f>AV44+1</f>
        <v>14</v>
      </c>
      <c r="AW53" s="22" t="s">
        <v>428</v>
      </c>
      <c r="AY53" s="21"/>
      <c r="AZ53" s="21"/>
      <c r="BA53" s="21"/>
    </row>
    <row r="54" spans="2:88" ht="15" customHeight="1" x14ac:dyDescent="0.3">
      <c r="C54" s="2" t="s">
        <v>129</v>
      </c>
      <c r="D54" s="210">
        <f>IF(ISBLANK($E$7),0,$E$7)</f>
        <v>0</v>
      </c>
      <c r="E54" s="210"/>
      <c r="F54" s="210"/>
      <c r="G54" s="210"/>
      <c r="H54" s="210"/>
      <c r="I54" s="210"/>
      <c r="J54" s="210"/>
      <c r="K54" s="210"/>
      <c r="L54" s="210"/>
      <c r="M54" s="210"/>
      <c r="N54" s="210"/>
      <c r="O54" s="210"/>
      <c r="P54" s="210"/>
      <c r="Q54" s="210"/>
      <c r="R54" s="210"/>
      <c r="S54" s="210"/>
      <c r="T54" s="210"/>
      <c r="U54" s="210"/>
      <c r="V54" s="210"/>
      <c r="W54" s="210"/>
      <c r="X54" s="210"/>
      <c r="Y54" s="210"/>
      <c r="AD54" s="2" t="s">
        <v>19</v>
      </c>
      <c r="AE54" s="187">
        <f>IF(ISBLANK($AE$7),0,$AE$7)</f>
        <v>0</v>
      </c>
      <c r="AF54" s="187"/>
      <c r="AG54" s="187"/>
      <c r="AH54" s="187"/>
      <c r="AI54" s="187"/>
      <c r="AJ54" s="187"/>
      <c r="AV54" s="17">
        <f>AV53+1</f>
        <v>15</v>
      </c>
      <c r="AW54" s="22" t="s">
        <v>429</v>
      </c>
      <c r="AY54" s="21"/>
      <c r="AZ54" s="21"/>
      <c r="BA54" s="21"/>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row>
    <row r="55" spans="2:88" ht="15" customHeight="1" x14ac:dyDescent="0.3">
      <c r="B55" s="2"/>
      <c r="C55" s="2"/>
      <c r="D55" s="2"/>
      <c r="E55" s="2"/>
      <c r="F55" s="2"/>
      <c r="G55" s="2"/>
      <c r="H55" s="2"/>
      <c r="I55" s="2"/>
      <c r="J55" s="2"/>
      <c r="K55" s="2"/>
      <c r="L55" s="2"/>
      <c r="M55" s="2"/>
      <c r="N55" s="2"/>
      <c r="O55" s="2"/>
      <c r="P55" s="2"/>
      <c r="Q55" s="2"/>
      <c r="R55" s="2"/>
      <c r="S55" s="2"/>
      <c r="T55" s="2"/>
      <c r="U55" s="2"/>
      <c r="V55" s="2"/>
      <c r="W55" s="2"/>
      <c r="X55" s="2"/>
      <c r="Y55" s="2"/>
      <c r="Z55" s="2"/>
      <c r="AD55" s="2" t="s">
        <v>32</v>
      </c>
      <c r="AE55" s="190">
        <f>IF(ISBLANK($AE$8),0,$AE$8)</f>
        <v>0</v>
      </c>
      <c r="AF55" s="190"/>
      <c r="AG55" s="190"/>
      <c r="AH55" s="190"/>
      <c r="AI55" s="190"/>
      <c r="AJ55" s="190"/>
      <c r="AK55" s="2"/>
      <c r="AL55" s="63"/>
      <c r="AM55" s="63"/>
      <c r="AN55" s="63"/>
      <c r="AO55" s="63"/>
      <c r="AP55" s="63"/>
      <c r="AQ55" s="63"/>
      <c r="AR55" s="63"/>
      <c r="AS55" s="63"/>
      <c r="AT55" s="63"/>
      <c r="AU55" s="2"/>
      <c r="AV55" s="105" t="s">
        <v>168</v>
      </c>
      <c r="AZ55" s="21"/>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row>
    <row r="56" spans="2:88" ht="15" customHeight="1" x14ac:dyDescent="0.3">
      <c r="B56" s="1" t="s">
        <v>154</v>
      </c>
      <c r="C56" s="1"/>
      <c r="D56" s="1"/>
      <c r="E56" s="1"/>
      <c r="F56" s="1"/>
      <c r="G56" s="1"/>
      <c r="H56" s="1"/>
      <c r="K56" s="2"/>
      <c r="L56" s="2"/>
      <c r="M56" s="2" t="s">
        <v>162</v>
      </c>
      <c r="N56" s="51"/>
      <c r="O56" s="13" t="s">
        <v>157</v>
      </c>
      <c r="P56" s="13"/>
      <c r="S56" s="15"/>
      <c r="T56" s="13" t="s">
        <v>167</v>
      </c>
      <c r="AF56" s="2"/>
      <c r="AG56" s="2"/>
      <c r="AH56" s="2"/>
      <c r="AI56" s="2"/>
      <c r="AJ56" s="2"/>
      <c r="AK56" s="2"/>
      <c r="AL56" s="91">
        <f>IF(AND(ISBLANK(N56),ISBLANK(S56)),1,2)</f>
        <v>1</v>
      </c>
      <c r="AM56" s="91">
        <f>IF(ISBLANK(N56),0,1)</f>
        <v>0</v>
      </c>
      <c r="AN56" s="63"/>
      <c r="AO56" s="63"/>
      <c r="AP56" s="63"/>
      <c r="AQ56" s="63"/>
      <c r="AR56" s="63"/>
      <c r="AS56" s="63"/>
      <c r="AT56" s="63"/>
      <c r="AU56" s="2"/>
      <c r="AV56" s="17">
        <v>1</v>
      </c>
      <c r="AW56" s="22" t="s">
        <v>169</v>
      </c>
      <c r="AZ56" s="21"/>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row>
    <row r="57" spans="2:88" ht="15" customHeight="1" x14ac:dyDescent="0.3">
      <c r="D57" s="2"/>
      <c r="F57" s="2"/>
      <c r="G57" s="2" t="s">
        <v>156</v>
      </c>
      <c r="H57" s="209"/>
      <c r="I57" s="209"/>
      <c r="J57" s="209"/>
      <c r="K57" s="13" t="s">
        <v>39</v>
      </c>
      <c r="L57" s="25"/>
      <c r="M57" s="25"/>
      <c r="O57" s="2"/>
      <c r="P57" s="2"/>
      <c r="Q57" s="2"/>
      <c r="T57" s="2" t="s">
        <v>158</v>
      </c>
      <c r="U57" s="191"/>
      <c r="V57" s="191"/>
      <c r="W57" s="191"/>
      <c r="X57" s="191"/>
      <c r="Y57" s="13" t="s">
        <v>39</v>
      </c>
      <c r="AB57" s="2"/>
      <c r="AC57" s="2"/>
      <c r="AD57" s="2"/>
      <c r="AK57" s="2"/>
      <c r="AL57" s="63"/>
      <c r="AM57" s="91">
        <f>IF(ISBLANK(S56),0,2)</f>
        <v>0</v>
      </c>
      <c r="AN57" s="63"/>
      <c r="AO57" s="63"/>
      <c r="AP57" s="63"/>
      <c r="AQ57" s="63"/>
      <c r="AR57" s="63"/>
      <c r="AS57" s="63"/>
      <c r="AT57" s="63"/>
      <c r="AU57" s="2"/>
      <c r="AV57" s="17">
        <v>2</v>
      </c>
      <c r="AW57" s="22" t="s">
        <v>255</v>
      </c>
      <c r="AZ57" s="21"/>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row>
    <row r="58" spans="2:88" ht="15" customHeight="1" x14ac:dyDescent="0.3">
      <c r="D58" s="2"/>
      <c r="F58" s="2"/>
      <c r="G58" s="2" t="s">
        <v>199</v>
      </c>
      <c r="H58" s="211"/>
      <c r="I58" s="211"/>
      <c r="J58" s="211"/>
      <c r="K58" s="13" t="s">
        <v>39</v>
      </c>
      <c r="L58" s="25"/>
      <c r="M58" s="25"/>
      <c r="O58" s="2"/>
      <c r="P58" s="2"/>
      <c r="Q58" s="2"/>
      <c r="T58" s="2" t="s">
        <v>159</v>
      </c>
      <c r="U58" s="183"/>
      <c r="V58" s="183"/>
      <c r="W58" s="183"/>
      <c r="X58" s="183"/>
      <c r="Y58" s="185" t="str">
        <f>IF($AM$58=0,"Units?",IF($AM$58=1,"ac",IF($AM$58=2,"sq-ft","Error")))</f>
        <v>Units?</v>
      </c>
      <c r="Z58" s="185"/>
      <c r="AB58" s="2"/>
      <c r="AC58" s="2"/>
      <c r="AD58" s="2"/>
      <c r="AE58" s="2"/>
      <c r="AF58" s="2"/>
      <c r="AG58" s="2"/>
      <c r="AH58" s="2"/>
      <c r="AI58" s="2"/>
      <c r="AJ58" s="2"/>
      <c r="AK58" s="2"/>
      <c r="AL58" s="63"/>
      <c r="AM58" s="91">
        <f>SUM(AM56:AM57)</f>
        <v>0</v>
      </c>
      <c r="AN58" s="14" t="s">
        <v>332</v>
      </c>
      <c r="AQ58" s="63"/>
      <c r="AR58" s="63"/>
      <c r="AS58" s="63"/>
      <c r="AT58" s="63"/>
      <c r="AU58" s="2"/>
      <c r="AV58" s="17"/>
      <c r="AW58" s="22" t="s">
        <v>256</v>
      </c>
      <c r="AZ58" s="21"/>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row>
    <row r="59" spans="2:88" ht="15" customHeight="1" x14ac:dyDescent="0.3">
      <c r="D59" s="2"/>
      <c r="F59" s="2"/>
      <c r="G59" s="2" t="s">
        <v>155</v>
      </c>
      <c r="H59" s="211"/>
      <c r="I59" s="211"/>
      <c r="J59" s="211"/>
      <c r="K59" s="13" t="s">
        <v>39</v>
      </c>
      <c r="L59" s="25"/>
      <c r="M59" s="25"/>
      <c r="O59" s="2"/>
      <c r="P59" s="2"/>
      <c r="Q59" s="2"/>
      <c r="T59" s="2" t="s">
        <v>160</v>
      </c>
      <c r="U59" s="183"/>
      <c r="V59" s="183"/>
      <c r="W59" s="183"/>
      <c r="X59" s="183"/>
      <c r="Y59" s="185" t="str">
        <f>IF($AM$58=0,"Units?",IF($AM$58=1,"ac-ft",IF($AM$58=2,"cu-ft","Error")))</f>
        <v>Units?</v>
      </c>
      <c r="Z59" s="185"/>
      <c r="AB59" s="2"/>
      <c r="AC59" s="2"/>
      <c r="AD59" s="2"/>
      <c r="AE59" s="2" t="s">
        <v>165</v>
      </c>
      <c r="AF59" s="15"/>
      <c r="AG59" s="22" t="s">
        <v>118</v>
      </c>
      <c r="AH59" s="2"/>
      <c r="AI59" s="15"/>
      <c r="AJ59" s="22" t="s">
        <v>119</v>
      </c>
      <c r="AK59" s="2"/>
      <c r="AL59" s="91">
        <f>IF(AND(ISBLANK(AF59),ISBLANK(AI59)),1,2)</f>
        <v>1</v>
      </c>
      <c r="AM59" s="91">
        <f>IF(AND(ISBLANK(AF61),ISBLANK(AI61)),1,2)</f>
        <v>1</v>
      </c>
      <c r="AN59" s="63"/>
      <c r="AO59" s="63"/>
      <c r="AP59" s="63"/>
      <c r="AQ59" s="63"/>
      <c r="AR59" s="63"/>
      <c r="AS59" s="63"/>
      <c r="AT59" s="63"/>
      <c r="AU59" s="2"/>
      <c r="AV59" s="17">
        <v>3</v>
      </c>
      <c r="AW59" s="22" t="s">
        <v>218</v>
      </c>
      <c r="AZ59" s="21"/>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row>
    <row r="60" spans="2:88" ht="4.95" customHeight="1" x14ac:dyDescent="0.3">
      <c r="D60" s="2"/>
      <c r="F60" s="2"/>
      <c r="G60" s="2"/>
      <c r="H60" s="2"/>
      <c r="I60" s="4"/>
      <c r="J60" s="4"/>
      <c r="K60" s="4"/>
      <c r="L60" s="4"/>
      <c r="M60" s="4"/>
      <c r="N60" s="13"/>
      <c r="O60" s="2"/>
      <c r="P60" s="2"/>
      <c r="Q60" s="2"/>
      <c r="T60" s="2"/>
      <c r="U60" s="2"/>
      <c r="V60" s="2"/>
      <c r="W60" s="66"/>
      <c r="X60" s="66"/>
      <c r="Y60" s="67"/>
      <c r="AA60" s="13"/>
      <c r="AB60" s="2"/>
      <c r="AC60" s="2"/>
      <c r="AD60" s="2"/>
      <c r="AE60" s="2"/>
      <c r="AF60" s="2"/>
      <c r="AG60" s="2"/>
      <c r="AH60" s="2"/>
      <c r="AI60" s="2"/>
      <c r="AJ60" s="2"/>
      <c r="AK60" s="2"/>
      <c r="AL60" s="63"/>
      <c r="AM60" s="63"/>
      <c r="AN60" s="63"/>
      <c r="AO60" s="63"/>
      <c r="AP60" s="63"/>
      <c r="AQ60" s="63"/>
      <c r="AR60" s="63"/>
      <c r="AS60" s="63"/>
      <c r="AT60" s="63"/>
      <c r="AU60" s="2"/>
      <c r="BA60" s="20"/>
    </row>
    <row r="61" spans="2:88" ht="15" customHeight="1" x14ac:dyDescent="0.3">
      <c r="B61" s="2"/>
      <c r="D61" s="2"/>
      <c r="F61" s="2"/>
      <c r="G61" s="2" t="s">
        <v>174</v>
      </c>
      <c r="H61" s="15"/>
      <c r="I61" s="22" t="s">
        <v>118</v>
      </c>
      <c r="L61" s="15"/>
      <c r="M61" s="22" t="s">
        <v>119</v>
      </c>
      <c r="Q61" s="2"/>
      <c r="T61" s="2" t="s">
        <v>161</v>
      </c>
      <c r="U61" s="184"/>
      <c r="V61" s="184"/>
      <c r="W61" s="184"/>
      <c r="X61" s="184"/>
      <c r="Y61" s="185" t="str">
        <f>IF($AM$58=0,"Units?",IF($AM$58=1,"ac-ft",IF($AM$58=2,"cu-ft","Error")))</f>
        <v>Units?</v>
      </c>
      <c r="Z61" s="185"/>
      <c r="AB61" s="2"/>
      <c r="AC61" s="2"/>
      <c r="AE61" s="2" t="s">
        <v>166</v>
      </c>
      <c r="AF61" s="15"/>
      <c r="AG61" s="22" t="s">
        <v>118</v>
      </c>
      <c r="AI61" s="15"/>
      <c r="AJ61" s="22" t="s">
        <v>119</v>
      </c>
      <c r="AK61" s="2"/>
      <c r="AL61" s="91">
        <f>IF(ISBLANK(H61),0,1)</f>
        <v>0</v>
      </c>
      <c r="AM61" s="91">
        <f>IF(AND(ISBLANK(H61),ISBLANK(L61)),1,2)</f>
        <v>1</v>
      </c>
      <c r="AN61" s="63"/>
      <c r="AO61" s="63"/>
      <c r="AP61" s="63"/>
      <c r="AQ61" s="63"/>
      <c r="AR61" s="63"/>
      <c r="AS61" s="63"/>
      <c r="AT61" s="63"/>
      <c r="AU61" s="13"/>
      <c r="AV61" s="17">
        <v>4</v>
      </c>
      <c r="AW61" s="22" t="s">
        <v>170</v>
      </c>
      <c r="AZ61" s="20"/>
      <c r="BA61" s="20"/>
    </row>
    <row r="62" spans="2:88" ht="15" customHeight="1" x14ac:dyDescent="0.3">
      <c r="B62" s="1" t="s">
        <v>422</v>
      </c>
      <c r="C62" s="1"/>
      <c r="D62" s="1"/>
      <c r="E62" s="1"/>
      <c r="F62" s="1"/>
      <c r="G62" s="1"/>
      <c r="H62" s="1"/>
      <c r="I62" s="1"/>
      <c r="J62" s="2"/>
      <c r="K62" s="2"/>
      <c r="L62" s="2"/>
      <c r="M62" s="2"/>
      <c r="N62" s="35"/>
      <c r="O62" s="34"/>
      <c r="P62" s="34"/>
      <c r="Q62" s="34"/>
      <c r="R62" s="34"/>
      <c r="S62" s="34"/>
      <c r="T62" s="34"/>
      <c r="U62" s="34"/>
      <c r="V62" s="34"/>
      <c r="W62" s="34"/>
      <c r="X62" s="34"/>
      <c r="Y62" s="34"/>
      <c r="Z62" s="34"/>
      <c r="AV62" s="17">
        <v>5</v>
      </c>
      <c r="AW62" s="22" t="s">
        <v>257</v>
      </c>
      <c r="AY62" s="20"/>
      <c r="BA62" s="20"/>
    </row>
    <row r="63" spans="2:88" ht="15" customHeight="1" x14ac:dyDescent="0.3">
      <c r="E63" s="2" t="s">
        <v>183</v>
      </c>
      <c r="F63" s="204"/>
      <c r="G63" s="204"/>
      <c r="H63" s="204"/>
      <c r="I63" s="204"/>
      <c r="J63" s="68"/>
      <c r="K63" s="68"/>
      <c r="L63" s="68"/>
      <c r="O63" s="2" t="s">
        <v>184</v>
      </c>
      <c r="P63" s="204"/>
      <c r="Q63" s="204"/>
      <c r="R63" s="204"/>
      <c r="AC63" s="2"/>
      <c r="AE63" s="2" t="s">
        <v>137</v>
      </c>
      <c r="AF63" s="15"/>
      <c r="AG63" s="22" t="s">
        <v>118</v>
      </c>
      <c r="AI63" s="15"/>
      <c r="AJ63" s="22" t="s">
        <v>119</v>
      </c>
      <c r="AL63" s="91">
        <f>IF(AND(ISBLANK(AF63),ISBLANK(AI63)),1,2)</f>
        <v>1</v>
      </c>
      <c r="AW63" s="22" t="s">
        <v>258</v>
      </c>
      <c r="BA63" s="20"/>
    </row>
    <row r="64" spans="2:88" ht="15" customHeight="1" x14ac:dyDescent="0.3">
      <c r="E64" s="2" t="s">
        <v>182</v>
      </c>
      <c r="F64" s="211"/>
      <c r="G64" s="211"/>
      <c r="H64" s="211"/>
      <c r="I64" s="211"/>
      <c r="J64" s="22" t="s">
        <v>39</v>
      </c>
      <c r="K64" s="26"/>
      <c r="AL64" s="91">
        <f>IF(ISBLANK(F64),1,2)</f>
        <v>1</v>
      </c>
    </row>
    <row r="65" spans="3:42" ht="15" customHeight="1" x14ac:dyDescent="0.3">
      <c r="E65" s="2" t="s">
        <v>181</v>
      </c>
      <c r="F65" s="211"/>
      <c r="G65" s="211"/>
      <c r="H65" s="211"/>
      <c r="I65" s="211"/>
      <c r="J65" s="22" t="s">
        <v>39</v>
      </c>
      <c r="K65" s="26"/>
      <c r="O65" s="2" t="s">
        <v>40</v>
      </c>
      <c r="P65" s="209"/>
      <c r="Q65" s="209"/>
      <c r="R65" s="209"/>
      <c r="S65" s="22" t="s">
        <v>39</v>
      </c>
      <c r="AE65" s="2" t="s">
        <v>164</v>
      </c>
      <c r="AF65" s="15"/>
      <c r="AG65" s="22" t="s">
        <v>118</v>
      </c>
      <c r="AI65" s="15"/>
      <c r="AJ65" s="22" t="s">
        <v>119</v>
      </c>
      <c r="AL65" s="91">
        <f>IF(AND(ISBLANK(F65),ISBLANK(P65)),1,2)</f>
        <v>1</v>
      </c>
      <c r="AM65" s="91">
        <f>IF(AND(ISBLANK(AF65),ISBLANK(AI65)),1,2)</f>
        <v>1</v>
      </c>
    </row>
    <row r="66" spans="3:42" ht="4.95" customHeight="1" x14ac:dyDescent="0.3"/>
    <row r="67" spans="3:42" ht="15" customHeight="1" x14ac:dyDescent="0.3">
      <c r="E67" s="2" t="s">
        <v>172</v>
      </c>
      <c r="F67" s="209"/>
      <c r="G67" s="209"/>
      <c r="H67" s="209"/>
      <c r="I67" s="209"/>
      <c r="J67" s="22" t="s">
        <v>39</v>
      </c>
      <c r="K67" s="26"/>
      <c r="O67" s="2" t="s">
        <v>41</v>
      </c>
      <c r="P67" s="209"/>
      <c r="Q67" s="209"/>
      <c r="R67" s="209"/>
      <c r="S67" s="22" t="s">
        <v>39</v>
      </c>
      <c r="AC67" s="2"/>
      <c r="AE67" s="2" t="s">
        <v>163</v>
      </c>
      <c r="AF67" s="15"/>
      <c r="AG67" s="22" t="s">
        <v>118</v>
      </c>
      <c r="AI67" s="15"/>
      <c r="AJ67" s="22" t="s">
        <v>119</v>
      </c>
      <c r="AL67" s="91">
        <f>IF(AND(ISBLANK(AF67),ISBLANK(AI67)),1,2)</f>
        <v>1</v>
      </c>
    </row>
    <row r="68" spans="3:42" ht="15" customHeight="1" x14ac:dyDescent="0.3">
      <c r="F68" s="189" t="s">
        <v>31</v>
      </c>
      <c r="G68" s="189"/>
      <c r="H68" s="189"/>
      <c r="I68" s="189"/>
      <c r="J68" s="26"/>
      <c r="K68" s="26"/>
      <c r="L68" s="4" t="s">
        <v>280</v>
      </c>
      <c r="N68" s="4"/>
      <c r="O68" s="4"/>
      <c r="P68" s="4"/>
      <c r="Q68" s="4" t="s">
        <v>281</v>
      </c>
      <c r="S68" s="4"/>
      <c r="V68" s="4" t="s">
        <v>37</v>
      </c>
      <c r="AA68" s="4" t="s">
        <v>73</v>
      </c>
      <c r="AB68" s="4"/>
      <c r="AC68" s="4"/>
      <c r="AF68" s="4" t="s">
        <v>361</v>
      </c>
      <c r="AG68" s="4"/>
      <c r="AH68" s="4"/>
    </row>
    <row r="69" spans="3:42" ht="15" customHeight="1" x14ac:dyDescent="0.3">
      <c r="E69" s="2" t="s">
        <v>179</v>
      </c>
      <c r="F69" s="204"/>
      <c r="G69" s="204"/>
      <c r="H69" s="204"/>
      <c r="I69" s="204"/>
      <c r="J69" s="26"/>
      <c r="K69" s="209"/>
      <c r="L69" s="209"/>
      <c r="M69" s="209"/>
      <c r="N69" s="22" t="s">
        <v>38</v>
      </c>
      <c r="O69" s="4"/>
      <c r="P69" s="209"/>
      <c r="Q69" s="209"/>
      <c r="R69" s="209"/>
      <c r="S69" s="22" t="s">
        <v>38</v>
      </c>
      <c r="U69" s="209"/>
      <c r="V69" s="209"/>
      <c r="W69" s="209"/>
      <c r="X69" s="22" t="s">
        <v>39</v>
      </c>
      <c r="Z69" s="209"/>
      <c r="AA69" s="209"/>
      <c r="AB69" s="209"/>
      <c r="AC69" s="22" t="s">
        <v>39</v>
      </c>
      <c r="AE69" s="209"/>
      <c r="AF69" s="209"/>
      <c r="AG69" s="209"/>
      <c r="AH69" s="22" t="s">
        <v>353</v>
      </c>
      <c r="AL69" s="91">
        <f>IF(ISBLANK(F69),1,2)</f>
        <v>1</v>
      </c>
    </row>
    <row r="70" spans="3:42" ht="4.95" customHeight="1" x14ac:dyDescent="0.3">
      <c r="E70" s="2"/>
      <c r="F70" s="2"/>
      <c r="G70" s="2"/>
      <c r="H70" s="2"/>
      <c r="I70" s="2"/>
      <c r="J70" s="26"/>
      <c r="K70" s="2"/>
      <c r="L70" s="2"/>
      <c r="N70" s="2"/>
      <c r="O70" s="4"/>
      <c r="P70" s="2"/>
      <c r="S70" s="2"/>
      <c r="U70" s="2"/>
      <c r="V70" s="2"/>
      <c r="X70" s="2"/>
      <c r="Y70" s="2"/>
      <c r="Z70" s="2"/>
      <c r="AC70" s="2"/>
      <c r="AD70" s="2"/>
      <c r="AE70" s="2"/>
      <c r="AF70" s="2"/>
      <c r="AG70" s="2"/>
      <c r="AH70" s="2"/>
      <c r="AI70" s="2"/>
      <c r="AJ70" s="2"/>
    </row>
    <row r="71" spans="3:42" ht="15" customHeight="1" x14ac:dyDescent="0.3">
      <c r="E71" s="2" t="s">
        <v>178</v>
      </c>
      <c r="F71" s="204"/>
      <c r="G71" s="204"/>
      <c r="H71" s="204"/>
      <c r="I71" s="204"/>
      <c r="J71" s="26"/>
      <c r="K71" s="209"/>
      <c r="L71" s="209"/>
      <c r="M71" s="209"/>
      <c r="N71" s="22" t="str">
        <f>IF(F71="V-notch","deg","in")</f>
        <v>in</v>
      </c>
      <c r="O71" s="4"/>
      <c r="P71" s="209"/>
      <c r="Q71" s="209"/>
      <c r="R71" s="209"/>
      <c r="S71" s="22" t="s">
        <v>38</v>
      </c>
      <c r="U71" s="209"/>
      <c r="V71" s="209"/>
      <c r="W71" s="209"/>
      <c r="X71" s="22" t="s">
        <v>39</v>
      </c>
      <c r="AC71" s="2"/>
      <c r="AE71" s="2" t="s">
        <v>441</v>
      </c>
      <c r="AF71" s="15"/>
      <c r="AG71" s="22" t="s">
        <v>118</v>
      </c>
      <c r="AI71" s="15"/>
      <c r="AJ71" s="22" t="s">
        <v>119</v>
      </c>
      <c r="AL71" s="91">
        <f>IF(ISBLANK(F71),1,2)</f>
        <v>1</v>
      </c>
      <c r="AM71" s="91">
        <f>IF(AND(ISBLANK(AF71),ISBLANK(AI71)),1,2)</f>
        <v>1</v>
      </c>
      <c r="AN71" s="91">
        <f>IF(ISBLANK(AI71),1,2)</f>
        <v>1</v>
      </c>
      <c r="AO71" s="16"/>
      <c r="AP71" s="16"/>
    </row>
    <row r="72" spans="3:42" ht="4.95" customHeight="1" x14ac:dyDescent="0.3">
      <c r="E72" s="2"/>
      <c r="J72" s="26"/>
      <c r="K72" s="26"/>
      <c r="O72" s="4"/>
      <c r="P72" s="26"/>
      <c r="U72" s="26"/>
      <c r="V72" s="26"/>
    </row>
    <row r="73" spans="3:42" ht="15" customHeight="1" x14ac:dyDescent="0.3">
      <c r="C73" s="226" t="s">
        <v>203</v>
      </c>
      <c r="D73" s="226"/>
      <c r="E73" s="226"/>
      <c r="F73" s="204"/>
      <c r="G73" s="204"/>
      <c r="H73" s="204"/>
      <c r="I73" s="204"/>
      <c r="J73" s="26"/>
      <c r="K73" s="209"/>
      <c r="L73" s="209"/>
      <c r="M73" s="209"/>
      <c r="N73" s="22" t="str">
        <f>IF(F73="V-notch","deg","in")</f>
        <v>in</v>
      </c>
      <c r="O73" s="4"/>
      <c r="P73" s="209"/>
      <c r="Q73" s="209"/>
      <c r="R73" s="209"/>
      <c r="S73" s="22" t="s">
        <v>38</v>
      </c>
      <c r="U73" s="209"/>
      <c r="V73" s="209"/>
      <c r="W73" s="209"/>
      <c r="X73" s="22" t="s">
        <v>39</v>
      </c>
      <c r="AC73" s="2"/>
      <c r="AE73" s="2" t="s">
        <v>175</v>
      </c>
      <c r="AF73" s="15"/>
      <c r="AG73" s="22" t="s">
        <v>118</v>
      </c>
      <c r="AI73" s="15"/>
      <c r="AJ73" s="22" t="s">
        <v>119</v>
      </c>
      <c r="AL73" s="91">
        <f>IF(C73="None:",3,IF(OR(C73="Orifice: ",C73="Weir: "),2,1))</f>
        <v>1</v>
      </c>
      <c r="AM73" s="91">
        <f>IF(AND(ISBLANK(AF73),ISBLANK(AI73)),1,2)</f>
        <v>1</v>
      </c>
    </row>
    <row r="74" spans="3:42" ht="4.95" customHeight="1" x14ac:dyDescent="0.3">
      <c r="J74" s="26"/>
      <c r="O74" s="4"/>
      <c r="P74" s="4"/>
      <c r="Q74" s="4"/>
      <c r="R74" s="4"/>
      <c r="S74" s="4"/>
      <c r="T74" s="4"/>
      <c r="U74" s="4"/>
      <c r="V74" s="4"/>
      <c r="W74" s="4"/>
      <c r="X74" s="4"/>
      <c r="Y74" s="4"/>
    </row>
    <row r="75" spans="3:42" ht="15" customHeight="1" x14ac:dyDescent="0.3">
      <c r="C75" s="226" t="s">
        <v>203</v>
      </c>
      <c r="D75" s="226"/>
      <c r="E75" s="226"/>
      <c r="F75" s="204"/>
      <c r="G75" s="204"/>
      <c r="H75" s="204"/>
      <c r="I75" s="204"/>
      <c r="J75" s="26"/>
      <c r="K75" s="209"/>
      <c r="L75" s="209"/>
      <c r="M75" s="209"/>
      <c r="N75" s="22" t="str">
        <f t="shared" ref="N75:N80" si="5">IF(F75="V-notch","deg","in")</f>
        <v>in</v>
      </c>
      <c r="O75" s="4"/>
      <c r="P75" s="209"/>
      <c r="Q75" s="209"/>
      <c r="R75" s="209"/>
      <c r="S75" s="22" t="s">
        <v>38</v>
      </c>
      <c r="U75" s="209"/>
      <c r="V75" s="209"/>
      <c r="W75" s="209"/>
      <c r="X75" s="22" t="s">
        <v>39</v>
      </c>
      <c r="AC75" s="2"/>
      <c r="AE75" s="2" t="s">
        <v>171</v>
      </c>
      <c r="AF75" s="15"/>
      <c r="AG75" s="22" t="s">
        <v>118</v>
      </c>
      <c r="AI75" s="15"/>
      <c r="AJ75" s="22" t="s">
        <v>119</v>
      </c>
      <c r="AL75" s="91">
        <f t="shared" ref="AL75:AL80" si="6">IF(OR(C75="Orifice: ",C75="Weir: "),2,1)</f>
        <v>1</v>
      </c>
      <c r="AM75" s="91">
        <f>IF(AND(ISBLANK(AF75),ISBLANK(AI75)),1,2)</f>
        <v>1</v>
      </c>
    </row>
    <row r="76" spans="3:42" ht="15" customHeight="1" x14ac:dyDescent="0.3">
      <c r="C76" s="226" t="s">
        <v>203</v>
      </c>
      <c r="D76" s="226"/>
      <c r="E76" s="226"/>
      <c r="F76" s="204"/>
      <c r="G76" s="204"/>
      <c r="H76" s="204"/>
      <c r="I76" s="204"/>
      <c r="J76" s="26"/>
      <c r="K76" s="211"/>
      <c r="L76" s="211"/>
      <c r="M76" s="211"/>
      <c r="N76" s="22" t="str">
        <f t="shared" si="5"/>
        <v>in</v>
      </c>
      <c r="O76" s="4"/>
      <c r="P76" s="211"/>
      <c r="Q76" s="211"/>
      <c r="R76" s="211"/>
      <c r="S76" s="22" t="s">
        <v>38</v>
      </c>
      <c r="U76" s="211"/>
      <c r="V76" s="211"/>
      <c r="W76" s="211"/>
      <c r="X76" s="22" t="s">
        <v>39</v>
      </c>
      <c r="AL76" s="91">
        <f t="shared" si="6"/>
        <v>1</v>
      </c>
    </row>
    <row r="77" spans="3:42" ht="15" customHeight="1" x14ac:dyDescent="0.3">
      <c r="C77" s="226" t="s">
        <v>203</v>
      </c>
      <c r="D77" s="226"/>
      <c r="E77" s="226"/>
      <c r="F77" s="204"/>
      <c r="G77" s="204"/>
      <c r="H77" s="204"/>
      <c r="I77" s="204"/>
      <c r="J77" s="26"/>
      <c r="K77" s="211"/>
      <c r="L77" s="211"/>
      <c r="M77" s="211"/>
      <c r="N77" s="22" t="str">
        <f t="shared" si="5"/>
        <v>in</v>
      </c>
      <c r="O77" s="4"/>
      <c r="P77" s="211"/>
      <c r="Q77" s="211"/>
      <c r="R77" s="211"/>
      <c r="S77" s="22" t="s">
        <v>38</v>
      </c>
      <c r="U77" s="211"/>
      <c r="V77" s="211"/>
      <c r="W77" s="211"/>
      <c r="X77" s="22" t="s">
        <v>39</v>
      </c>
      <c r="AL77" s="91">
        <f t="shared" si="6"/>
        <v>1</v>
      </c>
    </row>
    <row r="78" spans="3:42" ht="15" customHeight="1" x14ac:dyDescent="0.3">
      <c r="C78" s="226" t="s">
        <v>203</v>
      </c>
      <c r="D78" s="226"/>
      <c r="E78" s="226"/>
      <c r="F78" s="204"/>
      <c r="G78" s="204"/>
      <c r="H78" s="204"/>
      <c r="I78" s="204"/>
      <c r="J78" s="26"/>
      <c r="K78" s="211"/>
      <c r="L78" s="211"/>
      <c r="M78" s="211"/>
      <c r="N78" s="22" t="str">
        <f t="shared" si="5"/>
        <v>in</v>
      </c>
      <c r="O78" s="4"/>
      <c r="P78" s="211"/>
      <c r="Q78" s="211"/>
      <c r="R78" s="211"/>
      <c r="S78" s="22" t="s">
        <v>38</v>
      </c>
      <c r="U78" s="211"/>
      <c r="V78" s="211"/>
      <c r="W78" s="211"/>
      <c r="X78" s="22" t="s">
        <v>39</v>
      </c>
      <c r="AL78" s="91">
        <f t="shared" si="6"/>
        <v>1</v>
      </c>
    </row>
    <row r="79" spans="3:42" ht="15" customHeight="1" x14ac:dyDescent="0.3">
      <c r="C79" s="226" t="s">
        <v>203</v>
      </c>
      <c r="D79" s="226"/>
      <c r="E79" s="226"/>
      <c r="F79" s="204"/>
      <c r="G79" s="204"/>
      <c r="H79" s="204"/>
      <c r="I79" s="204"/>
      <c r="J79" s="26"/>
      <c r="K79" s="211"/>
      <c r="L79" s="211"/>
      <c r="M79" s="211"/>
      <c r="N79" s="22" t="str">
        <f t="shared" si="5"/>
        <v>in</v>
      </c>
      <c r="O79" s="4"/>
      <c r="P79" s="211"/>
      <c r="Q79" s="211"/>
      <c r="R79" s="211"/>
      <c r="S79" s="22" t="s">
        <v>38</v>
      </c>
      <c r="U79" s="211"/>
      <c r="V79" s="211"/>
      <c r="W79" s="211"/>
      <c r="X79" s="22" t="s">
        <v>39</v>
      </c>
      <c r="AL79" s="91">
        <f t="shared" si="6"/>
        <v>1</v>
      </c>
    </row>
    <row r="80" spans="3:42" ht="15" customHeight="1" x14ac:dyDescent="0.3">
      <c r="C80" s="226" t="s">
        <v>203</v>
      </c>
      <c r="D80" s="226"/>
      <c r="E80" s="226"/>
      <c r="F80" s="204"/>
      <c r="G80" s="204"/>
      <c r="H80" s="204"/>
      <c r="I80" s="204"/>
      <c r="J80" s="26"/>
      <c r="K80" s="211"/>
      <c r="L80" s="211"/>
      <c r="M80" s="211"/>
      <c r="N80" s="22" t="str">
        <f t="shared" si="5"/>
        <v>in</v>
      </c>
      <c r="O80" s="4"/>
      <c r="P80" s="211"/>
      <c r="Q80" s="211"/>
      <c r="R80" s="211"/>
      <c r="S80" s="22" t="s">
        <v>38</v>
      </c>
      <c r="U80" s="211"/>
      <c r="V80" s="211"/>
      <c r="W80" s="211"/>
      <c r="X80" s="22" t="s">
        <v>39</v>
      </c>
      <c r="AL80" s="91">
        <f t="shared" si="6"/>
        <v>1</v>
      </c>
    </row>
    <row r="81" spans="2:45" ht="4.95" customHeight="1" x14ac:dyDescent="0.3">
      <c r="AL81" s="89"/>
    </row>
    <row r="82" spans="2:45" ht="15" customHeight="1" x14ac:dyDescent="0.3">
      <c r="B82" s="1" t="s">
        <v>423</v>
      </c>
      <c r="C82" s="1"/>
      <c r="D82" s="1"/>
      <c r="E82" s="1"/>
      <c r="F82" s="1"/>
      <c r="G82" s="1"/>
      <c r="H82" s="1"/>
      <c r="I82" s="1"/>
      <c r="Z82" s="2"/>
      <c r="AE82" s="2" t="s">
        <v>137</v>
      </c>
      <c r="AF82" s="15"/>
      <c r="AG82" s="22" t="s">
        <v>118</v>
      </c>
      <c r="AH82" s="31"/>
      <c r="AI82" s="15"/>
      <c r="AJ82" s="31" t="s">
        <v>138</v>
      </c>
      <c r="AL82" s="97">
        <f>IF(AND(ISBLANK(AF82),ISBLANK(AI82)),1,2)</f>
        <v>1</v>
      </c>
      <c r="AM82" s="91">
        <f>SUM(AM83,AM84,AQ83,AS83,AO84,AO83)</f>
        <v>0</v>
      </c>
      <c r="AN82" s="14" t="s">
        <v>76</v>
      </c>
    </row>
    <row r="83" spans="2:45" ht="15" customHeight="1" x14ac:dyDescent="0.3">
      <c r="E83" s="2" t="s">
        <v>183</v>
      </c>
      <c r="F83" s="204"/>
      <c r="G83" s="204"/>
      <c r="H83" s="204"/>
      <c r="I83" s="204"/>
      <c r="N83" s="2" t="s">
        <v>184</v>
      </c>
      <c r="O83" s="204"/>
      <c r="P83" s="204"/>
      <c r="Q83" s="204"/>
      <c r="AI83" s="31"/>
      <c r="AJ83" s="31"/>
      <c r="AL83" s="63" t="s">
        <v>47</v>
      </c>
      <c r="AM83" s="91">
        <f>IF(ISBLANK(F84),0,1)</f>
        <v>0</v>
      </c>
      <c r="AN83" s="63" t="s">
        <v>21</v>
      </c>
      <c r="AO83" s="91">
        <f>IF(ISBLANK(F83),0,1)</f>
        <v>0</v>
      </c>
      <c r="AP83" s="63" t="s">
        <v>74</v>
      </c>
      <c r="AQ83" s="91">
        <f>IF(ISBLANK(W84),0,1)</f>
        <v>0</v>
      </c>
      <c r="AR83" s="63" t="s">
        <v>75</v>
      </c>
      <c r="AS83" s="91">
        <f>IF(ISBLANK(AF84),0,1)</f>
        <v>0</v>
      </c>
    </row>
    <row r="84" spans="2:45" ht="15" customHeight="1" x14ac:dyDescent="0.3">
      <c r="E84" s="2" t="s">
        <v>181</v>
      </c>
      <c r="F84" s="211"/>
      <c r="G84" s="211"/>
      <c r="H84" s="211"/>
      <c r="I84" s="211"/>
      <c r="J84" s="22" t="s">
        <v>39</v>
      </c>
      <c r="N84" s="2" t="s">
        <v>185</v>
      </c>
      <c r="O84" s="211"/>
      <c r="P84" s="211"/>
      <c r="Q84" s="211"/>
      <c r="R84" s="22" t="s">
        <v>39</v>
      </c>
      <c r="V84" s="2" t="s">
        <v>205</v>
      </c>
      <c r="W84" s="209"/>
      <c r="X84" s="209"/>
      <c r="Y84" s="209"/>
      <c r="Z84" s="22" t="s">
        <v>39</v>
      </c>
      <c r="AE84" s="2" t="s">
        <v>270</v>
      </c>
      <c r="AF84" s="209"/>
      <c r="AG84" s="209"/>
      <c r="AH84" s="209"/>
      <c r="AI84" s="22" t="s">
        <v>39</v>
      </c>
      <c r="AL84" s="63" t="s">
        <v>73</v>
      </c>
      <c r="AM84" s="91">
        <f>IF(ISBLANK(O84),0,1)</f>
        <v>0</v>
      </c>
      <c r="AN84" s="63" t="s">
        <v>31</v>
      </c>
      <c r="AO84" s="91">
        <f>IF(ISBLANK(O83),0,1)</f>
        <v>0</v>
      </c>
      <c r="AP84" s="63"/>
    </row>
    <row r="85" spans="2:45" ht="4.95" customHeight="1" x14ac:dyDescent="0.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L85" s="63"/>
      <c r="AN85" s="63"/>
      <c r="AP85" s="63"/>
    </row>
    <row r="86" spans="2:45" ht="15" customHeight="1" x14ac:dyDescent="0.3">
      <c r="B86" s="1" t="s">
        <v>14</v>
      </c>
      <c r="N86" s="29" t="s">
        <v>195</v>
      </c>
      <c r="O86" s="212"/>
      <c r="P86" s="212"/>
      <c r="Q86" s="212"/>
      <c r="R86" s="212"/>
      <c r="V86" s="2" t="s">
        <v>196</v>
      </c>
      <c r="W86" s="213"/>
      <c r="X86" s="213"/>
      <c r="Y86" s="213"/>
      <c r="Z86" s="213"/>
      <c r="AL86" s="63" t="s">
        <v>139</v>
      </c>
      <c r="AM86" s="91">
        <f>IF(ISBLANK(O86),0,1)</f>
        <v>0</v>
      </c>
      <c r="AN86" s="63" t="s">
        <v>141</v>
      </c>
      <c r="AO86" s="91">
        <f>SUM(AM86:AM87)</f>
        <v>0</v>
      </c>
      <c r="AP86" s="63" t="s">
        <v>419</v>
      </c>
      <c r="AQ86" s="91">
        <f>IF(ISBLANK(O86),1,IF(ISTEXT(O86)=TRUE,3,2))</f>
        <v>1</v>
      </c>
      <c r="AR86" s="63" t="s">
        <v>420</v>
      </c>
      <c r="AS86" s="91">
        <f>IF(ISBLANK(W86),1,IF(ISTEXT(W86)=TRUE,3,2))</f>
        <v>1</v>
      </c>
    </row>
    <row r="87" spans="2:45" ht="15" customHeight="1" x14ac:dyDescent="0.3">
      <c r="B87" s="1"/>
      <c r="AL87" s="63" t="s">
        <v>140</v>
      </c>
      <c r="AM87" s="91">
        <f>IF(ISBLANK(W86),0,1)</f>
        <v>0</v>
      </c>
    </row>
    <row r="88" spans="2:45" ht="15" customHeight="1" x14ac:dyDescent="0.3">
      <c r="B88" s="1" t="s">
        <v>471</v>
      </c>
      <c r="C88" s="1"/>
      <c r="D88" s="1"/>
      <c r="E88" s="1"/>
      <c r="K88" s="2" t="s">
        <v>477</v>
      </c>
      <c r="L88" s="204"/>
      <c r="M88" s="204"/>
      <c r="N88" s="204"/>
      <c r="O88" s="204"/>
      <c r="P88" s="204"/>
      <c r="Q88" s="204"/>
      <c r="R88" s="204"/>
      <c r="S88" s="204"/>
      <c r="T88" s="204"/>
      <c r="AE88" s="2" t="s">
        <v>137</v>
      </c>
      <c r="AF88" s="51"/>
      <c r="AG88" s="22" t="s">
        <v>118</v>
      </c>
      <c r="AI88" s="51"/>
      <c r="AJ88" s="31" t="s">
        <v>138</v>
      </c>
      <c r="AL88" s="91">
        <f>IF(ISBLANK(L88),1,0)</f>
        <v>1</v>
      </c>
      <c r="AM88" s="97">
        <f>SUM(AL88,AO88,AL90:AO90)</f>
        <v>6</v>
      </c>
      <c r="AN88" s="63"/>
      <c r="AO88" s="97">
        <f>IF(AND(ISBLANK(AF88),ISBLANK(AI88)),1,0)</f>
        <v>1</v>
      </c>
      <c r="AP88" s="91">
        <f>IF(ISBLANK(AI88),1,2)</f>
        <v>1</v>
      </c>
    </row>
    <row r="89" spans="2:45" ht="4.95" customHeight="1" x14ac:dyDescent="0.3">
      <c r="AN89" s="63"/>
      <c r="AO89" s="63"/>
      <c r="AP89" s="63"/>
    </row>
    <row r="90" spans="2:45" ht="15" customHeight="1" x14ac:dyDescent="0.3">
      <c r="E90" s="2" t="s">
        <v>185</v>
      </c>
      <c r="F90" s="209"/>
      <c r="G90" s="209"/>
      <c r="H90" s="22" t="s">
        <v>39</v>
      </c>
      <c r="K90" s="2" t="s">
        <v>181</v>
      </c>
      <c r="L90" s="209"/>
      <c r="M90" s="209"/>
      <c r="N90" s="22" t="s">
        <v>39</v>
      </c>
      <c r="Q90" s="2" t="s">
        <v>478</v>
      </c>
      <c r="R90" s="209"/>
      <c r="S90" s="209"/>
      <c r="T90" s="22" t="s">
        <v>39</v>
      </c>
      <c r="AE90" s="2" t="s">
        <v>479</v>
      </c>
      <c r="AF90" s="51"/>
      <c r="AG90" s="22" t="s">
        <v>118</v>
      </c>
      <c r="AI90" s="51"/>
      <c r="AJ90" s="31" t="s">
        <v>138</v>
      </c>
      <c r="AL90" s="91">
        <f>IF(ISBLANK(F90),1,0)</f>
        <v>1</v>
      </c>
      <c r="AM90" s="91">
        <f>IF(ISBLANK(L90),1,0)</f>
        <v>1</v>
      </c>
      <c r="AN90" s="91">
        <f>IF(ISBLANK(R90),1,0)</f>
        <v>1</v>
      </c>
      <c r="AO90" s="97">
        <f>IF(AND(ISBLANK(AF90),ISBLANK(AI90)),1,0)</f>
        <v>1</v>
      </c>
      <c r="AP90" s="91">
        <f>IF(ISBLANK(AI90),1,2)</f>
        <v>1</v>
      </c>
    </row>
    <row r="91" spans="2:45" ht="4.95" customHeight="1" x14ac:dyDescent="0.3">
      <c r="AN91" s="63"/>
      <c r="AO91" s="63"/>
      <c r="AP91" s="63"/>
    </row>
    <row r="92" spans="2:45" ht="19.95" customHeight="1" x14ac:dyDescent="0.3">
      <c r="B92" s="1" t="s">
        <v>394</v>
      </c>
      <c r="C92" s="1"/>
      <c r="D92" s="1"/>
      <c r="E92" s="1"/>
      <c r="F92" s="1"/>
      <c r="G92" s="1"/>
      <c r="H92" s="1"/>
      <c r="I92" s="1"/>
      <c r="AL92" s="91">
        <f>IF(ISBLANK(AG92),0,IF(AG92&lt;2,1,""))</f>
        <v>0</v>
      </c>
      <c r="AN92" s="63"/>
      <c r="AP92" s="63"/>
    </row>
    <row r="93" spans="2:45" ht="15" customHeight="1" x14ac:dyDescent="0.3">
      <c r="C93" s="189" t="s">
        <v>15</v>
      </c>
      <c r="D93" s="189"/>
      <c r="E93" s="189"/>
      <c r="F93" s="4"/>
      <c r="G93" s="4"/>
      <c r="H93" s="4"/>
      <c r="I93" s="4" t="s">
        <v>16</v>
      </c>
      <c r="K93" s="4"/>
      <c r="L93" s="4"/>
      <c r="M93" s="22" t="s">
        <v>46</v>
      </c>
      <c r="T93" s="4" t="s">
        <v>15</v>
      </c>
      <c r="V93" s="4"/>
      <c r="W93" s="4"/>
      <c r="Y93" s="4" t="s">
        <v>16</v>
      </c>
      <c r="Z93" s="4"/>
      <c r="AC93" s="22" t="s">
        <v>46</v>
      </c>
      <c r="AL93" s="63"/>
      <c r="AN93" s="63"/>
      <c r="AP93" s="63"/>
    </row>
    <row r="94" spans="2:45" ht="14.55" customHeight="1" x14ac:dyDescent="0.3">
      <c r="C94" s="209"/>
      <c r="D94" s="209"/>
      <c r="E94" s="209"/>
      <c r="F94" s="22" t="s">
        <v>39</v>
      </c>
      <c r="H94" s="184"/>
      <c r="I94" s="184"/>
      <c r="J94" s="184"/>
      <c r="K94" s="185" t="str">
        <f>IF($AM$58=0,"Units?",IF($AM$58=1,"ac",IF($AM$58=2,"sq-ft","Error")))</f>
        <v>Units?</v>
      </c>
      <c r="L94" s="185"/>
      <c r="M94" s="184"/>
      <c r="N94" s="184"/>
      <c r="O94" s="184"/>
      <c r="P94" s="184"/>
      <c r="Q94" s="185" t="str">
        <f>IF($AM$58=0,"Units?",IF($AM$58=1,"ac-ft",IF($AM$58=2,"cu-ft","Error")))</f>
        <v>Units?</v>
      </c>
      <c r="R94" s="185"/>
      <c r="S94" s="209"/>
      <c r="T94" s="209"/>
      <c r="U94" s="209"/>
      <c r="V94" s="22" t="s">
        <v>39</v>
      </c>
      <c r="W94" s="26"/>
      <c r="X94" s="184"/>
      <c r="Y94" s="184"/>
      <c r="Z94" s="184"/>
      <c r="AA94" s="185" t="str">
        <f t="shared" ref="AA94:AA100" si="7">IF($AM$58=0,"Units?",IF($AM$58=1,"ac",IF($AM$58=2,"sq-ft","Error")))</f>
        <v>Units?</v>
      </c>
      <c r="AB94" s="185"/>
      <c r="AC94" s="184"/>
      <c r="AD94" s="184"/>
      <c r="AE94" s="184"/>
      <c r="AF94" s="184"/>
      <c r="AG94" s="185" t="str">
        <f>IF($AM$58=0,"Units?",IF($AM$58=1,"ac-ft",IF($AM$58=2,"cu-ft","Error")))</f>
        <v>Units?</v>
      </c>
      <c r="AH94" s="185"/>
      <c r="AL94" s="91">
        <f t="shared" ref="AL94:AL100" si="8">IF(ISBLANK(C94),1,2)</f>
        <v>1</v>
      </c>
      <c r="AM94" s="91">
        <f t="shared" ref="AM94:AM100" si="9">IF(ISBLANK(S94),1,2)</f>
        <v>1</v>
      </c>
      <c r="AN94" s="91">
        <f>IF(ISBLANK(H94),1,2)</f>
        <v>1</v>
      </c>
      <c r="AO94" s="91">
        <f>IF(ISBLANK(M94),1,2)</f>
        <v>1</v>
      </c>
      <c r="AP94" s="63"/>
    </row>
    <row r="95" spans="2:45" ht="14.55" customHeight="1" x14ac:dyDescent="0.3">
      <c r="C95" s="211"/>
      <c r="D95" s="211"/>
      <c r="E95" s="211"/>
      <c r="F95" s="22" t="s">
        <v>39</v>
      </c>
      <c r="H95" s="183"/>
      <c r="I95" s="183"/>
      <c r="J95" s="183"/>
      <c r="K95" s="185" t="str">
        <f t="shared" ref="K95:K100" si="10">IF($AM$58=0,"Units?",IF($AM$58=1,"ac",IF($AM$58=2,"sq-ft","Error")))</f>
        <v>Units?</v>
      </c>
      <c r="L95" s="185"/>
      <c r="M95" s="183"/>
      <c r="N95" s="183"/>
      <c r="O95" s="183"/>
      <c r="P95" s="183"/>
      <c r="Q95" s="185" t="str">
        <f t="shared" ref="Q95:Q100" si="11">IF($AM$58=0,"Units?",IF($AM$58=1,"ac-ft",IF($AM$58=2,"cu-ft","Error")))</f>
        <v>Units?</v>
      </c>
      <c r="R95" s="185"/>
      <c r="S95" s="211"/>
      <c r="T95" s="211"/>
      <c r="U95" s="211"/>
      <c r="V95" s="22" t="s">
        <v>39</v>
      </c>
      <c r="W95" s="26"/>
      <c r="X95" s="183"/>
      <c r="Y95" s="183"/>
      <c r="Z95" s="183"/>
      <c r="AA95" s="185" t="str">
        <f t="shared" si="7"/>
        <v>Units?</v>
      </c>
      <c r="AB95" s="185"/>
      <c r="AC95" s="183"/>
      <c r="AD95" s="183"/>
      <c r="AE95" s="183"/>
      <c r="AF95" s="183"/>
      <c r="AG95" s="185" t="str">
        <f t="shared" ref="AG95:AG100" si="12">IF($AM$58=0,"Units?",IF($AM$58=1,"ac-ft",IF($AM$58=2,"cu-ft","Error")))</f>
        <v>Units?</v>
      </c>
      <c r="AH95" s="185"/>
      <c r="AL95" s="91">
        <f t="shared" si="8"/>
        <v>1</v>
      </c>
      <c r="AM95" s="91">
        <f t="shared" si="9"/>
        <v>1</v>
      </c>
      <c r="AP95" s="63"/>
    </row>
    <row r="96" spans="2:45" ht="14.55" customHeight="1" x14ac:dyDescent="0.3">
      <c r="C96" s="211"/>
      <c r="D96" s="211"/>
      <c r="E96" s="211"/>
      <c r="F96" s="22" t="s">
        <v>39</v>
      </c>
      <c r="H96" s="183"/>
      <c r="I96" s="183"/>
      <c r="J96" s="183"/>
      <c r="K96" s="185" t="str">
        <f t="shared" si="10"/>
        <v>Units?</v>
      </c>
      <c r="L96" s="185"/>
      <c r="M96" s="183"/>
      <c r="N96" s="183"/>
      <c r="O96" s="183"/>
      <c r="P96" s="183"/>
      <c r="Q96" s="185" t="str">
        <f t="shared" si="11"/>
        <v>Units?</v>
      </c>
      <c r="R96" s="185"/>
      <c r="S96" s="211"/>
      <c r="T96" s="211"/>
      <c r="U96" s="211"/>
      <c r="V96" s="22" t="s">
        <v>39</v>
      </c>
      <c r="W96" s="26"/>
      <c r="X96" s="183"/>
      <c r="Y96" s="183"/>
      <c r="Z96" s="183"/>
      <c r="AA96" s="185" t="str">
        <f t="shared" si="7"/>
        <v>Units?</v>
      </c>
      <c r="AB96" s="185"/>
      <c r="AC96" s="183"/>
      <c r="AD96" s="183"/>
      <c r="AE96" s="183"/>
      <c r="AF96" s="183"/>
      <c r="AG96" s="185" t="str">
        <f t="shared" si="12"/>
        <v>Units?</v>
      </c>
      <c r="AH96" s="185"/>
      <c r="AL96" s="91">
        <f t="shared" si="8"/>
        <v>1</v>
      </c>
      <c r="AM96" s="91">
        <f t="shared" si="9"/>
        <v>1</v>
      </c>
      <c r="AP96" s="63"/>
    </row>
    <row r="97" spans="2:46" ht="14.55" customHeight="1" x14ac:dyDescent="0.3">
      <c r="C97" s="211"/>
      <c r="D97" s="211"/>
      <c r="E97" s="211"/>
      <c r="F97" s="22" t="s">
        <v>39</v>
      </c>
      <c r="H97" s="183"/>
      <c r="I97" s="183"/>
      <c r="J97" s="183"/>
      <c r="K97" s="185" t="str">
        <f t="shared" si="10"/>
        <v>Units?</v>
      </c>
      <c r="L97" s="185"/>
      <c r="M97" s="183"/>
      <c r="N97" s="183"/>
      <c r="O97" s="183"/>
      <c r="P97" s="183"/>
      <c r="Q97" s="185" t="str">
        <f t="shared" si="11"/>
        <v>Units?</v>
      </c>
      <c r="R97" s="185"/>
      <c r="S97" s="211"/>
      <c r="T97" s="211"/>
      <c r="U97" s="211"/>
      <c r="V97" s="22" t="s">
        <v>39</v>
      </c>
      <c r="W97" s="26"/>
      <c r="X97" s="183"/>
      <c r="Y97" s="183"/>
      <c r="Z97" s="183"/>
      <c r="AA97" s="185" t="str">
        <f t="shared" si="7"/>
        <v>Units?</v>
      </c>
      <c r="AB97" s="185"/>
      <c r="AC97" s="183"/>
      <c r="AD97" s="183"/>
      <c r="AE97" s="183"/>
      <c r="AF97" s="183"/>
      <c r="AG97" s="185" t="str">
        <f t="shared" si="12"/>
        <v>Units?</v>
      </c>
      <c r="AH97" s="185"/>
      <c r="AL97" s="91">
        <f t="shared" si="8"/>
        <v>1</v>
      </c>
      <c r="AM97" s="91">
        <f t="shared" si="9"/>
        <v>1</v>
      </c>
    </row>
    <row r="98" spans="2:46" ht="14.55" customHeight="1" x14ac:dyDescent="0.3">
      <c r="C98" s="211"/>
      <c r="D98" s="211"/>
      <c r="E98" s="211"/>
      <c r="F98" s="22" t="s">
        <v>39</v>
      </c>
      <c r="H98" s="183"/>
      <c r="I98" s="183"/>
      <c r="J98" s="183"/>
      <c r="K98" s="185" t="str">
        <f t="shared" si="10"/>
        <v>Units?</v>
      </c>
      <c r="L98" s="185"/>
      <c r="M98" s="183"/>
      <c r="N98" s="183"/>
      <c r="O98" s="183"/>
      <c r="P98" s="183"/>
      <c r="Q98" s="185" t="str">
        <f t="shared" si="11"/>
        <v>Units?</v>
      </c>
      <c r="R98" s="185"/>
      <c r="S98" s="211"/>
      <c r="T98" s="211"/>
      <c r="U98" s="211"/>
      <c r="V98" s="22" t="s">
        <v>39</v>
      </c>
      <c r="W98" s="26"/>
      <c r="X98" s="183"/>
      <c r="Y98" s="183"/>
      <c r="Z98" s="183"/>
      <c r="AA98" s="185" t="str">
        <f t="shared" si="7"/>
        <v>Units?</v>
      </c>
      <c r="AB98" s="185"/>
      <c r="AC98" s="183"/>
      <c r="AD98" s="183"/>
      <c r="AE98" s="183"/>
      <c r="AF98" s="183"/>
      <c r="AG98" s="185" t="str">
        <f t="shared" si="12"/>
        <v>Units?</v>
      </c>
      <c r="AH98" s="185"/>
      <c r="AL98" s="91">
        <f t="shared" si="8"/>
        <v>1</v>
      </c>
      <c r="AM98" s="91">
        <f t="shared" si="9"/>
        <v>1</v>
      </c>
    </row>
    <row r="99" spans="2:46" ht="14.55" customHeight="1" x14ac:dyDescent="0.3">
      <c r="C99" s="211"/>
      <c r="D99" s="211"/>
      <c r="E99" s="211"/>
      <c r="F99" s="22" t="s">
        <v>39</v>
      </c>
      <c r="H99" s="183"/>
      <c r="I99" s="183"/>
      <c r="J99" s="183"/>
      <c r="K99" s="185" t="str">
        <f t="shared" si="10"/>
        <v>Units?</v>
      </c>
      <c r="L99" s="185"/>
      <c r="M99" s="183"/>
      <c r="N99" s="183"/>
      <c r="O99" s="183"/>
      <c r="P99" s="183"/>
      <c r="Q99" s="185" t="str">
        <f t="shared" si="11"/>
        <v>Units?</v>
      </c>
      <c r="R99" s="185"/>
      <c r="S99" s="211"/>
      <c r="T99" s="211"/>
      <c r="U99" s="211"/>
      <c r="V99" s="22" t="s">
        <v>39</v>
      </c>
      <c r="W99" s="26"/>
      <c r="X99" s="183"/>
      <c r="Y99" s="183"/>
      <c r="Z99" s="183"/>
      <c r="AA99" s="185" t="str">
        <f t="shared" si="7"/>
        <v>Units?</v>
      </c>
      <c r="AB99" s="185"/>
      <c r="AC99" s="183"/>
      <c r="AD99" s="183"/>
      <c r="AE99" s="183"/>
      <c r="AF99" s="183"/>
      <c r="AG99" s="185" t="str">
        <f t="shared" si="12"/>
        <v>Units?</v>
      </c>
      <c r="AH99" s="185"/>
      <c r="AL99" s="91">
        <f t="shared" si="8"/>
        <v>1</v>
      </c>
      <c r="AM99" s="91">
        <f t="shared" si="9"/>
        <v>1</v>
      </c>
    </row>
    <row r="100" spans="2:46" ht="14.55" customHeight="1" x14ac:dyDescent="0.3">
      <c r="C100" s="211"/>
      <c r="D100" s="211"/>
      <c r="E100" s="211"/>
      <c r="F100" s="22" t="s">
        <v>39</v>
      </c>
      <c r="H100" s="183"/>
      <c r="I100" s="183"/>
      <c r="J100" s="183"/>
      <c r="K100" s="185" t="str">
        <f t="shared" si="10"/>
        <v>Units?</v>
      </c>
      <c r="L100" s="185"/>
      <c r="M100" s="183"/>
      <c r="N100" s="183"/>
      <c r="O100" s="183"/>
      <c r="P100" s="183"/>
      <c r="Q100" s="185" t="str">
        <f t="shared" si="11"/>
        <v>Units?</v>
      </c>
      <c r="R100" s="185"/>
      <c r="S100" s="211"/>
      <c r="T100" s="211"/>
      <c r="U100" s="211"/>
      <c r="V100" s="22" t="s">
        <v>39</v>
      </c>
      <c r="W100" s="26"/>
      <c r="X100" s="183"/>
      <c r="Y100" s="183"/>
      <c r="Z100" s="183"/>
      <c r="AA100" s="185" t="str">
        <f t="shared" si="7"/>
        <v>Units?</v>
      </c>
      <c r="AB100" s="185"/>
      <c r="AC100" s="183"/>
      <c r="AD100" s="183"/>
      <c r="AE100" s="183"/>
      <c r="AF100" s="183"/>
      <c r="AG100" s="185" t="str">
        <f t="shared" si="12"/>
        <v>Units?</v>
      </c>
      <c r="AH100" s="185"/>
      <c r="AL100" s="91">
        <f t="shared" si="8"/>
        <v>1</v>
      </c>
      <c r="AM100" s="91">
        <f t="shared" si="9"/>
        <v>1</v>
      </c>
    </row>
    <row r="101" spans="2:46" ht="14.55" customHeight="1" x14ac:dyDescent="0.3">
      <c r="G101" s="25" t="s">
        <v>271</v>
      </c>
      <c r="H101" s="224">
        <f>$W$19</f>
        <v>0</v>
      </c>
      <c r="I101" s="224"/>
      <c r="J101" s="224"/>
      <c r="K101" s="185" t="s">
        <v>34</v>
      </c>
      <c r="L101" s="185"/>
      <c r="O101" s="69"/>
      <c r="P101" s="36"/>
      <c r="R101" s="25" t="s">
        <v>272</v>
      </c>
      <c r="S101" s="183"/>
      <c r="T101" s="183"/>
      <c r="U101" s="183"/>
      <c r="V101" s="185" t="s">
        <v>34</v>
      </c>
      <c r="W101" s="185"/>
      <c r="AB101" s="36" t="s">
        <v>564</v>
      </c>
      <c r="AC101" s="186"/>
      <c r="AD101" s="186"/>
      <c r="AE101" s="186"/>
      <c r="AF101" s="186"/>
      <c r="AG101" s="22" t="s">
        <v>39</v>
      </c>
      <c r="AL101" s="63" t="s">
        <v>144</v>
      </c>
      <c r="AM101" s="91" t="str">
        <f>IF(ISBLANK(S101),"",IF(ISTEXT(S101),2,IF(OR(S101=H101,S101&gt;H101),1,2)))</f>
        <v/>
      </c>
      <c r="AN101" s="91">
        <f>IF(ISTEXT(S101),2,1)</f>
        <v>1</v>
      </c>
    </row>
    <row r="102" spans="2:46" ht="15" customHeight="1" x14ac:dyDescent="0.3">
      <c r="AK102" s="26"/>
      <c r="AM102" s="91">
        <f>IF(OR(H101=0,ISBLANK(S101)),2,1)</f>
        <v>2</v>
      </c>
    </row>
    <row r="103" spans="2:46" ht="15" customHeight="1" x14ac:dyDescent="0.3">
      <c r="B103" s="203">
        <f>Tables!$F$13</f>
        <v>45931</v>
      </c>
      <c r="C103" s="203"/>
      <c r="D103" s="203"/>
      <c r="E103" s="203"/>
      <c r="F103" s="203"/>
      <c r="G103" s="203"/>
      <c r="H103" s="203"/>
      <c r="R103" s="189" t="s">
        <v>226</v>
      </c>
      <c r="S103" s="189"/>
      <c r="T103" s="189"/>
      <c r="U103" s="189"/>
      <c r="AK103" s="26"/>
    </row>
    <row r="104" spans="2:46" ht="15" customHeight="1" x14ac:dyDescent="0.3">
      <c r="C104" s="2" t="s">
        <v>1</v>
      </c>
      <c r="D104" s="210">
        <f>IF(ISBLANK($E$7),0,$E$7)</f>
        <v>0</v>
      </c>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34"/>
      <c r="AD104" s="2" t="s">
        <v>19</v>
      </c>
      <c r="AE104" s="187">
        <f>IF(ISBLANK($AE$7),0,$AE$7)</f>
        <v>0</v>
      </c>
      <c r="AF104" s="187"/>
      <c r="AG104" s="187"/>
      <c r="AH104" s="187"/>
      <c r="AI104" s="187"/>
      <c r="AJ104" s="187"/>
    </row>
    <row r="105" spans="2:46" ht="15" customHeight="1" x14ac:dyDescent="0.3">
      <c r="C105" s="35"/>
      <c r="D105" s="35"/>
      <c r="E105" s="35"/>
      <c r="F105" s="35"/>
      <c r="G105" s="35"/>
      <c r="H105" s="35"/>
      <c r="I105" s="35"/>
      <c r="J105" s="2"/>
      <c r="K105" s="2"/>
      <c r="M105" s="2"/>
      <c r="N105" s="35"/>
      <c r="O105" s="34"/>
      <c r="Q105" s="34"/>
      <c r="R105" s="34"/>
      <c r="S105" s="34"/>
      <c r="T105" s="34"/>
      <c r="U105" s="34"/>
      <c r="V105" s="34"/>
      <c r="W105" s="34"/>
      <c r="X105" s="34"/>
      <c r="Y105" s="34"/>
      <c r="Z105" s="34"/>
      <c r="AD105" s="2" t="s">
        <v>32</v>
      </c>
      <c r="AE105" s="190">
        <f>IF(ISBLANK($AE$8),0,$AE$8)</f>
        <v>0</v>
      </c>
      <c r="AF105" s="190"/>
      <c r="AG105" s="190"/>
      <c r="AH105" s="190"/>
      <c r="AI105" s="190"/>
      <c r="AJ105" s="190"/>
      <c r="AM105" s="16" t="s">
        <v>416</v>
      </c>
      <c r="AR105" s="16" t="s">
        <v>415</v>
      </c>
      <c r="AS105" s="16"/>
      <c r="AT105" s="16"/>
    </row>
    <row r="106" spans="2:46" ht="15" customHeight="1" x14ac:dyDescent="0.3">
      <c r="B106" s="1" t="s">
        <v>395</v>
      </c>
      <c r="Y106" s="189" t="s">
        <v>415</v>
      </c>
      <c r="Z106" s="189"/>
      <c r="AA106" s="189"/>
      <c r="AC106" s="189" t="s">
        <v>416</v>
      </c>
      <c r="AD106" s="189"/>
      <c r="AE106" s="189"/>
      <c r="AL106" s="16" t="s">
        <v>70</v>
      </c>
      <c r="AM106" s="16" t="s">
        <v>245</v>
      </c>
      <c r="AN106" s="16" t="s">
        <v>71</v>
      </c>
      <c r="AO106" s="16" t="s">
        <v>369</v>
      </c>
      <c r="AP106" s="16" t="s">
        <v>399</v>
      </c>
      <c r="AQ106" s="16" t="s">
        <v>284</v>
      </c>
      <c r="AR106" s="16" t="s">
        <v>245</v>
      </c>
      <c r="AS106" s="16"/>
      <c r="AT106" s="16"/>
    </row>
    <row r="107" spans="2:46" ht="30" customHeight="1" x14ac:dyDescent="0.3">
      <c r="F107" s="1"/>
      <c r="G107" s="1"/>
      <c r="H107" s="1"/>
      <c r="I107" s="188" t="s">
        <v>56</v>
      </c>
      <c r="J107" s="188"/>
      <c r="K107" s="188"/>
      <c r="L107" s="70"/>
      <c r="M107" s="188" t="s">
        <v>563</v>
      </c>
      <c r="N107" s="189"/>
      <c r="O107" s="189"/>
      <c r="P107" s="70"/>
      <c r="Q107" s="188" t="s">
        <v>57</v>
      </c>
      <c r="R107" s="188"/>
      <c r="S107" s="188"/>
      <c r="U107" s="188" t="s">
        <v>266</v>
      </c>
      <c r="V107" s="188"/>
      <c r="W107" s="188"/>
      <c r="Y107" s="188" t="s">
        <v>228</v>
      </c>
      <c r="Z107" s="188"/>
      <c r="AA107" s="188"/>
      <c r="AB107" s="87"/>
      <c r="AC107" s="188" t="s">
        <v>228</v>
      </c>
      <c r="AD107" s="188"/>
      <c r="AE107" s="188"/>
      <c r="AF107" s="70"/>
      <c r="AG107" s="188" t="s">
        <v>58</v>
      </c>
      <c r="AH107" s="188"/>
      <c r="AI107" s="188"/>
      <c r="AJ107" s="188"/>
      <c r="AL107" s="91">
        <f>SUM(AL108:AL111)</f>
        <v>4</v>
      </c>
      <c r="AM107" s="91">
        <f t="shared" ref="AM107:AR107" si="13">SUM(AM108:AM113)</f>
        <v>6</v>
      </c>
      <c r="AN107" s="91">
        <f t="shared" si="13"/>
        <v>6</v>
      </c>
      <c r="AO107" s="91">
        <f t="shared" si="13"/>
        <v>0</v>
      </c>
      <c r="AP107" s="91">
        <f t="shared" si="13"/>
        <v>0</v>
      </c>
      <c r="AQ107" s="98">
        <f t="shared" si="13"/>
        <v>6</v>
      </c>
      <c r="AR107" s="91">
        <f t="shared" si="13"/>
        <v>6</v>
      </c>
      <c r="AS107" s="16"/>
      <c r="AT107" s="16"/>
    </row>
    <row r="108" spans="2:46" ht="15" customHeight="1" x14ac:dyDescent="0.3">
      <c r="C108" s="202">
        <f>Tables!$F$16</f>
        <v>6.02</v>
      </c>
      <c r="D108" s="202"/>
      <c r="G108" s="2" t="str">
        <f>Tables!$D$16</f>
        <v>(2-yr)</v>
      </c>
      <c r="H108" s="2"/>
      <c r="I108" s="191"/>
      <c r="J108" s="191"/>
      <c r="K108" s="191"/>
      <c r="L108" s="6"/>
      <c r="M108" s="191"/>
      <c r="N108" s="191"/>
      <c r="O108" s="191"/>
      <c r="Q108" s="191"/>
      <c r="R108" s="191"/>
      <c r="S108" s="191"/>
      <c r="U108" s="191"/>
      <c r="V108" s="191"/>
      <c r="W108" s="191"/>
      <c r="Y108" s="191"/>
      <c r="Z108" s="191"/>
      <c r="AA108" s="191"/>
      <c r="AC108" s="191"/>
      <c r="AD108" s="191"/>
      <c r="AE108" s="191"/>
      <c r="AG108" s="191"/>
      <c r="AH108" s="191"/>
      <c r="AI108" s="191"/>
      <c r="AL108" s="91">
        <f>IF(ISBLANK(U108),1,IF(U108&gt;W$84,1,0))</f>
        <v>1</v>
      </c>
      <c r="AM108" s="91">
        <f t="shared" ref="AM108:AM113" si="14">IF(ISBLANK(AC108),1,IF(AC108&gt;$AM$115,1,0))</f>
        <v>1</v>
      </c>
      <c r="AN108" s="91">
        <f t="shared" ref="AN108:AN113" si="15">IF(OR(ISBLANK(AG108),ISBLANK(I108)),1,IF(AG108&gt;I108,1,0))</f>
        <v>1</v>
      </c>
      <c r="AO108" s="91">
        <f t="shared" ref="AO108:AO113" si="16">IF(OR($AN$124=0,$AN$142=2),0,IF(AG108&gt;$AN$124,1,0))</f>
        <v>0</v>
      </c>
      <c r="AP108" s="91">
        <f t="shared" ref="AP108:AP113" si="17">IF(OR($AN$126=0,$AN$142=2),0,IF($AG108&gt;$AN$126,1,0))</f>
        <v>0</v>
      </c>
      <c r="AQ108" s="98">
        <f t="shared" ref="AQ108:AQ113" si="18">IF(OR(ISBLANK(I108),ISBLANK(AG108)),1,IF(AG108-I108&gt;-0.5,1,0))</f>
        <v>1</v>
      </c>
      <c r="AR108" s="91">
        <f t="shared" ref="AR108:AR113" si="19">IF(ISBLANK(Y108),1,IF(Y108&gt;$AM$115,1,0))</f>
        <v>1</v>
      </c>
      <c r="AS108" s="16"/>
      <c r="AT108" s="16"/>
    </row>
    <row r="109" spans="2:46" ht="15" customHeight="1" x14ac:dyDescent="0.3">
      <c r="C109" s="202">
        <f>Tables!$F$17</f>
        <v>7.68</v>
      </c>
      <c r="D109" s="202"/>
      <c r="G109" s="2" t="str">
        <f>Tables!$D$17</f>
        <v>(5-yr)</v>
      </c>
      <c r="H109" s="2"/>
      <c r="I109" s="186"/>
      <c r="J109" s="186"/>
      <c r="K109" s="186"/>
      <c r="L109" s="6"/>
      <c r="M109" s="186"/>
      <c r="N109" s="186"/>
      <c r="O109" s="186"/>
      <c r="Q109" s="186"/>
      <c r="R109" s="186"/>
      <c r="S109" s="186"/>
      <c r="U109" s="186"/>
      <c r="V109" s="186"/>
      <c r="W109" s="186"/>
      <c r="Y109" s="186"/>
      <c r="Z109" s="186"/>
      <c r="AA109" s="186"/>
      <c r="AC109" s="186"/>
      <c r="AD109" s="186"/>
      <c r="AE109" s="186"/>
      <c r="AG109" s="186"/>
      <c r="AH109" s="186"/>
      <c r="AI109" s="186"/>
      <c r="AL109" s="91">
        <f>IF(ISBLANK(U109),1,IF(U109&gt;W$84,1,0))</f>
        <v>1</v>
      </c>
      <c r="AM109" s="91">
        <f t="shared" si="14"/>
        <v>1</v>
      </c>
      <c r="AN109" s="91">
        <f t="shared" si="15"/>
        <v>1</v>
      </c>
      <c r="AO109" s="91">
        <f t="shared" si="16"/>
        <v>0</v>
      </c>
      <c r="AP109" s="91">
        <f t="shared" si="17"/>
        <v>0</v>
      </c>
      <c r="AQ109" s="98">
        <f t="shared" si="18"/>
        <v>1</v>
      </c>
      <c r="AR109" s="91">
        <f t="shared" si="19"/>
        <v>1</v>
      </c>
      <c r="AS109" s="16"/>
      <c r="AT109" s="16"/>
    </row>
    <row r="110" spans="2:46" ht="15" customHeight="1" x14ac:dyDescent="0.3">
      <c r="C110" s="202">
        <f>Tables!$F$18</f>
        <v>9.26</v>
      </c>
      <c r="D110" s="202"/>
      <c r="G110" s="2" t="str">
        <f>Tables!$D$18</f>
        <v>(10-yr)</v>
      </c>
      <c r="H110" s="2"/>
      <c r="I110" s="186"/>
      <c r="J110" s="186"/>
      <c r="K110" s="186"/>
      <c r="L110" s="6"/>
      <c r="M110" s="186"/>
      <c r="N110" s="186"/>
      <c r="O110" s="186"/>
      <c r="Q110" s="186"/>
      <c r="R110" s="186"/>
      <c r="S110" s="186"/>
      <c r="U110" s="186"/>
      <c r="V110" s="186"/>
      <c r="W110" s="186"/>
      <c r="Y110" s="186"/>
      <c r="Z110" s="186"/>
      <c r="AA110" s="186"/>
      <c r="AC110" s="186"/>
      <c r="AD110" s="186"/>
      <c r="AE110" s="186"/>
      <c r="AG110" s="186"/>
      <c r="AH110" s="186"/>
      <c r="AI110" s="186"/>
      <c r="AL110" s="91">
        <f>IF(ISBLANK(U110),1,IF(U110&gt;W$84,1,0))</f>
        <v>1</v>
      </c>
      <c r="AM110" s="91">
        <f t="shared" si="14"/>
        <v>1</v>
      </c>
      <c r="AN110" s="91">
        <f t="shared" si="15"/>
        <v>1</v>
      </c>
      <c r="AO110" s="91">
        <f t="shared" si="16"/>
        <v>0</v>
      </c>
      <c r="AP110" s="91">
        <f t="shared" si="17"/>
        <v>0</v>
      </c>
      <c r="AQ110" s="98">
        <f t="shared" si="18"/>
        <v>1</v>
      </c>
      <c r="AR110" s="91">
        <f t="shared" si="19"/>
        <v>1</v>
      </c>
      <c r="AS110" s="16"/>
      <c r="AT110" s="16"/>
    </row>
    <row r="111" spans="2:46" ht="15" customHeight="1" x14ac:dyDescent="0.3">
      <c r="C111" s="202">
        <f>Tables!$F$19</f>
        <v>11.7</v>
      </c>
      <c r="D111" s="202"/>
      <c r="G111" s="2" t="str">
        <f>Tables!$D$19</f>
        <v>(25-yr)</v>
      </c>
      <c r="H111" s="2"/>
      <c r="I111" s="186"/>
      <c r="J111" s="186"/>
      <c r="K111" s="186"/>
      <c r="L111" s="6"/>
      <c r="M111" s="186"/>
      <c r="N111" s="186"/>
      <c r="O111" s="186"/>
      <c r="Q111" s="186"/>
      <c r="R111" s="186"/>
      <c r="S111" s="186"/>
      <c r="U111" s="186"/>
      <c r="V111" s="186"/>
      <c r="W111" s="186"/>
      <c r="Y111" s="186"/>
      <c r="Z111" s="186"/>
      <c r="AA111" s="186"/>
      <c r="AC111" s="186"/>
      <c r="AD111" s="186"/>
      <c r="AE111" s="186"/>
      <c r="AG111" s="186"/>
      <c r="AH111" s="186"/>
      <c r="AI111" s="186"/>
      <c r="AL111" s="91">
        <f>IF(ISBLANK(U111),1,IF(U111&gt;W$84,1,0))</f>
        <v>1</v>
      </c>
      <c r="AM111" s="91">
        <f t="shared" si="14"/>
        <v>1</v>
      </c>
      <c r="AN111" s="91">
        <f t="shared" si="15"/>
        <v>1</v>
      </c>
      <c r="AO111" s="91">
        <f t="shared" si="16"/>
        <v>0</v>
      </c>
      <c r="AP111" s="91">
        <f t="shared" si="17"/>
        <v>0</v>
      </c>
      <c r="AQ111" s="98">
        <f t="shared" si="18"/>
        <v>1</v>
      </c>
      <c r="AR111" s="91">
        <f t="shared" si="19"/>
        <v>1</v>
      </c>
      <c r="AS111" s="16"/>
      <c r="AT111" s="16"/>
    </row>
    <row r="112" spans="2:46" ht="15" customHeight="1" x14ac:dyDescent="0.3">
      <c r="C112" s="202">
        <f>Tables!$F$20</f>
        <v>13.9</v>
      </c>
      <c r="D112" s="202"/>
      <c r="G112" s="2" t="str">
        <f>Tables!$D$20</f>
        <v>(50-yr)</v>
      </c>
      <c r="H112" s="2"/>
      <c r="I112" s="186"/>
      <c r="J112" s="186"/>
      <c r="K112" s="186"/>
      <c r="L112" s="6"/>
      <c r="M112" s="186"/>
      <c r="N112" s="186"/>
      <c r="O112" s="186"/>
      <c r="Q112" s="186"/>
      <c r="R112" s="186"/>
      <c r="S112" s="186"/>
      <c r="U112" s="186"/>
      <c r="V112" s="186"/>
      <c r="W112" s="186"/>
      <c r="Y112" s="186"/>
      <c r="Z112" s="186"/>
      <c r="AA112" s="186"/>
      <c r="AC112" s="186"/>
      <c r="AD112" s="186"/>
      <c r="AE112" s="186"/>
      <c r="AG112" s="186"/>
      <c r="AH112" s="186"/>
      <c r="AI112" s="186"/>
      <c r="AL112" s="96">
        <f>IF(OR(ISBLANK($AF$84),ISBLANK(U112)),0,$AF$84-U112)</f>
        <v>0</v>
      </c>
      <c r="AM112" s="91">
        <f t="shared" si="14"/>
        <v>1</v>
      </c>
      <c r="AN112" s="91">
        <f t="shared" si="15"/>
        <v>1</v>
      </c>
      <c r="AO112" s="91">
        <f t="shared" si="16"/>
        <v>0</v>
      </c>
      <c r="AP112" s="91">
        <f t="shared" si="17"/>
        <v>0</v>
      </c>
      <c r="AQ112" s="98">
        <f t="shared" si="18"/>
        <v>1</v>
      </c>
      <c r="AR112" s="91">
        <f t="shared" si="19"/>
        <v>1</v>
      </c>
      <c r="AS112" s="16"/>
      <c r="AT112" s="16"/>
    </row>
    <row r="113" spans="2:46" ht="15" customHeight="1" x14ac:dyDescent="0.3">
      <c r="C113" s="202">
        <f>Tables!$F$21</f>
        <v>16.3</v>
      </c>
      <c r="D113" s="202"/>
      <c r="G113" s="2" t="str">
        <f>Tables!$D$21</f>
        <v>(100-yr)</v>
      </c>
      <c r="H113" s="2"/>
      <c r="I113" s="186"/>
      <c r="J113" s="186"/>
      <c r="K113" s="186"/>
      <c r="L113" s="6"/>
      <c r="M113" s="186"/>
      <c r="N113" s="186"/>
      <c r="O113" s="186"/>
      <c r="Q113" s="186"/>
      <c r="R113" s="186"/>
      <c r="S113" s="186"/>
      <c r="U113" s="186"/>
      <c r="V113" s="186"/>
      <c r="W113" s="186"/>
      <c r="Y113" s="186"/>
      <c r="Z113" s="186"/>
      <c r="AA113" s="186"/>
      <c r="AC113" s="186"/>
      <c r="AD113" s="186"/>
      <c r="AE113" s="186"/>
      <c r="AG113" s="186"/>
      <c r="AH113" s="186"/>
      <c r="AI113" s="186"/>
      <c r="AL113" s="96">
        <f>IF(OR(ISBLANK($AF$84),ISBLANK(U113)),0,$AF$84-U113)</f>
        <v>0</v>
      </c>
      <c r="AM113" s="91">
        <f t="shared" si="14"/>
        <v>1</v>
      </c>
      <c r="AN113" s="91">
        <f t="shared" si="15"/>
        <v>1</v>
      </c>
      <c r="AO113" s="91">
        <f t="shared" si="16"/>
        <v>0</v>
      </c>
      <c r="AP113" s="91">
        <f t="shared" si="17"/>
        <v>0</v>
      </c>
      <c r="AQ113" s="98">
        <f t="shared" si="18"/>
        <v>1</v>
      </c>
      <c r="AR113" s="91">
        <f t="shared" si="19"/>
        <v>1</v>
      </c>
      <c r="AS113" s="16"/>
      <c r="AT113" s="16"/>
    </row>
    <row r="114" spans="2:46" ht="15" customHeight="1" x14ac:dyDescent="0.3">
      <c r="B114" s="5" t="s">
        <v>20</v>
      </c>
      <c r="Q114" s="22" t="s">
        <v>413</v>
      </c>
      <c r="AC114" s="22" t="s">
        <v>414</v>
      </c>
      <c r="AL114" s="91">
        <f>IF(AND(ISBLANK(AF84),ISBLANK(U113)),1,2)</f>
        <v>1</v>
      </c>
      <c r="AP114" s="181" t="s">
        <v>403</v>
      </c>
      <c r="AQ114" s="182"/>
    </row>
    <row r="115" spans="2:46" ht="15" customHeight="1" x14ac:dyDescent="0.3">
      <c r="B115" s="193"/>
      <c r="C115" s="194"/>
      <c r="D115" s="194"/>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5"/>
      <c r="AL115" s="63" t="s">
        <v>282</v>
      </c>
      <c r="AM115" s="90">
        <f>Tables!F26</f>
        <v>6</v>
      </c>
      <c r="AP115" s="122" t="s">
        <v>401</v>
      </c>
      <c r="AQ115" s="123" t="s">
        <v>145</v>
      </c>
    </row>
    <row r="116" spans="2:46" ht="15" customHeight="1" x14ac:dyDescent="0.3">
      <c r="B116" s="196"/>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8"/>
      <c r="AP116" s="124">
        <v>2</v>
      </c>
      <c r="AQ116" s="125">
        <f t="shared" ref="AQ116:AQ121" si="20">I108</f>
        <v>0</v>
      </c>
    </row>
    <row r="117" spans="2:46" ht="15" customHeight="1" x14ac:dyDescent="0.3">
      <c r="B117" s="196"/>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8"/>
      <c r="AP117" s="124">
        <v>5</v>
      </c>
      <c r="AQ117" s="125">
        <f t="shared" si="20"/>
        <v>0</v>
      </c>
    </row>
    <row r="118" spans="2:46" ht="15" customHeight="1" x14ac:dyDescent="0.3">
      <c r="B118" s="196"/>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8"/>
      <c r="AP118" s="124">
        <v>10</v>
      </c>
      <c r="AQ118" s="125">
        <f t="shared" si="20"/>
        <v>0</v>
      </c>
    </row>
    <row r="119" spans="2:46" ht="15" customHeight="1" x14ac:dyDescent="0.3">
      <c r="B119" s="196"/>
      <c r="C119" s="197"/>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8"/>
      <c r="AP119" s="124">
        <v>25</v>
      </c>
      <c r="AQ119" s="125">
        <f t="shared" si="20"/>
        <v>0</v>
      </c>
    </row>
    <row r="120" spans="2:46" ht="15" customHeight="1" x14ac:dyDescent="0.3">
      <c r="B120" s="196"/>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8"/>
      <c r="AP120" s="124">
        <v>50</v>
      </c>
      <c r="AQ120" s="125">
        <f t="shared" si="20"/>
        <v>0</v>
      </c>
    </row>
    <row r="121" spans="2:46" ht="15" customHeight="1" x14ac:dyDescent="0.3">
      <c r="B121" s="199"/>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1"/>
      <c r="AP121" s="126">
        <v>100</v>
      </c>
      <c r="AQ121" s="127">
        <f t="shared" si="20"/>
        <v>0</v>
      </c>
      <c r="AR121" s="14" t="s">
        <v>469</v>
      </c>
    </row>
    <row r="122" spans="2:46" ht="15" customHeight="1" x14ac:dyDescent="0.3">
      <c r="B122" s="1" t="s">
        <v>371</v>
      </c>
      <c r="AJ122" s="149">
        <f>IF(ISBLANK(C126),0,IF(AO126="Yes","Detain the "&amp;AS122&amp;"-yr storm events to a "&amp;AR122&amp;"-yr discharge.",""))</f>
        <v>0</v>
      </c>
      <c r="AN122" s="16" t="s">
        <v>145</v>
      </c>
      <c r="AO122" s="16" t="s">
        <v>400</v>
      </c>
      <c r="AP122" s="16" t="s">
        <v>401</v>
      </c>
      <c r="AQ122" s="14" t="s">
        <v>402</v>
      </c>
      <c r="AR122" s="97" t="str">
        <f>IF(AO126="No","2, 5, 10, 25, 50, and 100",IF(R140&gt;0,R140,IF(AT126=0,AP126,IF(AT126=1,AP124,IF(AT126=2,AP126,IF(AT126=3,Tables!F35,""))))))</f>
        <v>2, 5, 10, 25, 50, and 100</v>
      </c>
      <c r="AS122" s="96" t="str">
        <f>IF(AO126="No","2, 5, 10, 25, 50, and 100",IF(R140&gt;0,AL140,IF(AT126=0,AS126,IF(AT126=1,AS124,IF(AT126=2,AS126,IF(AT126=3,Tables!F36,""))))))</f>
        <v>2, 5, 10, 25, 50, and 100</v>
      </c>
      <c r="AT122" s="131"/>
    </row>
    <row r="123" spans="2:46" ht="4.95" customHeight="1" x14ac:dyDescent="0.3"/>
    <row r="124" spans="2:46" ht="15" customHeight="1" x14ac:dyDescent="0.3">
      <c r="B124" s="4"/>
      <c r="C124" s="51"/>
      <c r="D124" s="22" t="s">
        <v>118</v>
      </c>
      <c r="F124" s="51"/>
      <c r="G124" s="22" t="s">
        <v>119</v>
      </c>
      <c r="I124" s="22" t="s">
        <v>375</v>
      </c>
      <c r="Y124" s="133"/>
      <c r="AL124" s="91">
        <f>IF(AND(ISBLANK(C124),ISBLANK(F124)),1,2)</f>
        <v>1</v>
      </c>
      <c r="AM124" s="91">
        <f>IF(ISBLANK(C124),1,2)</f>
        <v>1</v>
      </c>
      <c r="AN124" s="96">
        <f>IF($AO124="Yes",IF($AM124=2,$AQ124,0),0)</f>
        <v>0</v>
      </c>
      <c r="AO124" s="91" t="str">
        <f>Tables!F29</f>
        <v>No</v>
      </c>
      <c r="AP124" s="97">
        <f>Tables!F30</f>
        <v>2</v>
      </c>
      <c r="AQ124" s="96">
        <f>VLOOKUP(AP124,$AP$116:$AQ$121,2)</f>
        <v>0</v>
      </c>
      <c r="AR124" s="131"/>
      <c r="AS124" s="97" t="str">
        <f>Tables!F31</f>
        <v>2, 5, 10, 25, 50, and 100</v>
      </c>
      <c r="AT124" s="147"/>
    </row>
    <row r="125" spans="2:46" ht="4.95" customHeight="1" x14ac:dyDescent="0.3">
      <c r="B125" s="4"/>
      <c r="C125" s="4"/>
      <c r="D125" s="4"/>
      <c r="E125" s="4"/>
      <c r="F125" s="4"/>
      <c r="G125" s="4"/>
      <c r="H125" s="4"/>
      <c r="I125" s="4"/>
      <c r="J125" s="4"/>
      <c r="K125" s="4"/>
      <c r="L125" s="4"/>
      <c r="M125" s="4"/>
      <c r="N125" s="4"/>
      <c r="O125" s="4"/>
      <c r="P125" s="4"/>
      <c r="Q125" s="4"/>
      <c r="R125" s="4"/>
      <c r="S125" s="4"/>
      <c r="T125" s="4"/>
      <c r="U125" s="4"/>
      <c r="V125" s="4"/>
      <c r="W125" s="4"/>
      <c r="X125" s="4"/>
      <c r="Z125" s="4"/>
      <c r="AA125" s="4"/>
      <c r="AB125" s="4"/>
      <c r="AC125" s="4"/>
      <c r="AD125" s="4"/>
      <c r="AE125" s="4"/>
      <c r="AF125" s="4"/>
      <c r="AG125" s="4"/>
      <c r="AH125" s="4"/>
      <c r="AI125" s="4"/>
      <c r="AJ125" s="4"/>
    </row>
    <row r="126" spans="2:46" ht="15" customHeight="1" x14ac:dyDescent="0.3">
      <c r="B126" s="4"/>
      <c r="C126" s="51"/>
      <c r="D126" s="22" t="s">
        <v>118</v>
      </c>
      <c r="F126" s="51"/>
      <c r="G126" s="22" t="s">
        <v>119</v>
      </c>
      <c r="I126" s="22" t="s">
        <v>376</v>
      </c>
      <c r="Y126" s="133"/>
      <c r="AL126" s="91">
        <f>IF(AND(ISBLANK(C126),ISBLANK(F126)),1,2)</f>
        <v>1</v>
      </c>
      <c r="AM126" s="91">
        <f>IF(ISBLANK(C126),1,2)</f>
        <v>1</v>
      </c>
      <c r="AN126" s="96">
        <f>IF($AO126="Yes",IF($AM126=2,$AQ126,0),0)</f>
        <v>0</v>
      </c>
      <c r="AO126" s="91" t="str">
        <f>Tables!F32</f>
        <v>No</v>
      </c>
      <c r="AP126" s="97">
        <f>IF(ISBLANK(R140),Tables!F33,R140)</f>
        <v>2</v>
      </c>
      <c r="AQ126" s="96">
        <f>VLOOKUP(AP126,$AP$116:$AQ$121,2)</f>
        <v>0</v>
      </c>
      <c r="AR126" s="131"/>
      <c r="AS126" s="96" t="str">
        <f>Tables!F34</f>
        <v>2, 5, 10, 25, 50, and 100</v>
      </c>
      <c r="AT126" s="148">
        <f>IF(AND(ISBLANK(C124),ISBLANK(C126)),0,IF(AND(LEN(C124)&gt;0,ISBLANK(C126)),1,IF(AND(ISBLANK(C124),LEN(C126)&gt;0),2,3)))</f>
        <v>0</v>
      </c>
    </row>
    <row r="127" spans="2:46" ht="4.95" customHeight="1" x14ac:dyDescent="0.3">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row>
    <row r="128" spans="2:46" ht="15" customHeight="1" x14ac:dyDescent="0.3">
      <c r="B128" s="4"/>
      <c r="C128" s="4"/>
      <c r="D128" s="4"/>
      <c r="E128" s="4"/>
      <c r="F128" s="4"/>
      <c r="G128" s="4"/>
      <c r="H128" s="4"/>
      <c r="I128" s="51"/>
      <c r="J128" s="22" t="s">
        <v>118</v>
      </c>
      <c r="L128" s="51"/>
      <c r="M128" s="22" t="s">
        <v>119</v>
      </c>
      <c r="O128" s="22" t="s">
        <v>466</v>
      </c>
      <c r="AL128" s="91">
        <f>IF(AND(ISBLANK(I128),ISBLANK(L128)),1,2)</f>
        <v>1</v>
      </c>
      <c r="AM128" s="91">
        <f>IF(ISBLANK(L128),1,2)</f>
        <v>1</v>
      </c>
    </row>
    <row r="129" spans="2:43" ht="4.95" customHeight="1" x14ac:dyDescent="0.3">
      <c r="B129" s="4"/>
      <c r="C129" s="4"/>
      <c r="D129" s="4"/>
      <c r="E129" s="4"/>
      <c r="F129" s="4"/>
      <c r="G129" s="4"/>
      <c r="H129" s="4"/>
    </row>
    <row r="130" spans="2:43" ht="15" customHeight="1" x14ac:dyDescent="0.3">
      <c r="B130" s="4"/>
      <c r="C130" s="4"/>
      <c r="D130" s="4"/>
      <c r="E130" s="4"/>
      <c r="F130" s="4"/>
      <c r="G130" s="4"/>
      <c r="H130" s="4"/>
      <c r="I130" s="51"/>
      <c r="J130" s="22" t="s">
        <v>118</v>
      </c>
      <c r="L130" s="51"/>
      <c r="M130" s="22" t="s">
        <v>119</v>
      </c>
      <c r="O130" s="22" t="s">
        <v>467</v>
      </c>
      <c r="AL130" s="91">
        <f>IF(AND(ISBLANK(I130),ISBLANK(L130)),1,2)</f>
        <v>1</v>
      </c>
      <c r="AM130" s="91">
        <f>IF(ISBLANK(I130),1,2)</f>
        <v>1</v>
      </c>
    </row>
    <row r="131" spans="2:43" ht="4.95" customHeight="1" x14ac:dyDescent="0.3">
      <c r="B131" s="4"/>
      <c r="C131" s="4"/>
      <c r="D131" s="4"/>
      <c r="E131" s="4"/>
      <c r="F131" s="4"/>
      <c r="G131" s="4"/>
      <c r="H131" s="4"/>
    </row>
    <row r="132" spans="2:43" ht="15" customHeight="1" x14ac:dyDescent="0.3">
      <c r="B132" s="4"/>
      <c r="C132" s="4"/>
      <c r="D132" s="4"/>
      <c r="E132" s="4"/>
      <c r="F132" s="4"/>
      <c r="G132" s="4"/>
      <c r="H132" s="4"/>
      <c r="O132" s="51"/>
      <c r="P132" s="22" t="s">
        <v>118</v>
      </c>
      <c r="R132" s="51"/>
      <c r="S132" s="22" t="s">
        <v>119</v>
      </c>
      <c r="U132" s="22" t="s">
        <v>468</v>
      </c>
      <c r="AL132" s="91">
        <f>IF(AND(ISBLANK(O132),ISBLANK(R132)),1,2)</f>
        <v>1</v>
      </c>
      <c r="AM132" s="91">
        <f>IF(ISBLANK(R132),1,2)</f>
        <v>1</v>
      </c>
    </row>
    <row r="133" spans="2:43" ht="4.95" customHeight="1" x14ac:dyDescent="0.3">
      <c r="B133" s="4"/>
      <c r="C133" s="4"/>
      <c r="D133" s="4"/>
      <c r="E133" s="4"/>
      <c r="F133" s="4"/>
      <c r="G133" s="4"/>
      <c r="H133" s="4"/>
    </row>
    <row r="134" spans="2:43" ht="15" customHeight="1" x14ac:dyDescent="0.3">
      <c r="B134" s="4"/>
      <c r="C134" s="4"/>
      <c r="D134" s="4"/>
      <c r="E134" s="4"/>
      <c r="F134" s="4"/>
      <c r="G134" s="4"/>
      <c r="H134" s="4"/>
      <c r="O134" s="51"/>
      <c r="P134" s="22" t="s">
        <v>118</v>
      </c>
      <c r="R134" s="51"/>
      <c r="S134" s="22" t="s">
        <v>119</v>
      </c>
      <c r="U134" s="22" t="s">
        <v>531</v>
      </c>
      <c r="AL134" s="91">
        <f>IF(AND(ISBLANK(O134),ISBLANK(R134)),1,2)</f>
        <v>1</v>
      </c>
      <c r="AM134" s="91">
        <f>IF(ISBLANK(R134),1,2)</f>
        <v>1</v>
      </c>
    </row>
    <row r="135" spans="2:43" ht="4.95" customHeight="1" x14ac:dyDescent="0.3">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row>
    <row r="136" spans="2:43" ht="15" customHeight="1" x14ac:dyDescent="0.3">
      <c r="B136" s="4"/>
      <c r="C136" s="4"/>
      <c r="D136" s="4"/>
      <c r="E136" s="4"/>
      <c r="F136" s="4"/>
      <c r="G136" s="4"/>
      <c r="H136" s="4"/>
      <c r="I136" s="51"/>
      <c r="J136" s="22" t="s">
        <v>118</v>
      </c>
      <c r="L136" s="51"/>
      <c r="M136" s="22" t="s">
        <v>119</v>
      </c>
      <c r="O136" s="22" t="str">
        <f>"The "&amp;Tables!$F$23&amp;" will allow a different post release rate design storm."</f>
        <v>The County will allow a different post release rate design storm.</v>
      </c>
      <c r="AL136" s="91">
        <f>IF(AND(ISBLANK(I136),ISBLANK(L136)),1,2)</f>
        <v>1</v>
      </c>
      <c r="AM136" s="91">
        <f>IF(ISBLANK(I136),1,2)</f>
        <v>1</v>
      </c>
    </row>
    <row r="137" spans="2:43" ht="4.95" customHeight="1" x14ac:dyDescent="0.3">
      <c r="B137" s="4"/>
      <c r="C137" s="4"/>
      <c r="D137" s="4"/>
      <c r="E137" s="4"/>
      <c r="F137" s="4"/>
      <c r="G137" s="4"/>
      <c r="H137" s="4"/>
    </row>
    <row r="138" spans="2:43" ht="15" customHeight="1" x14ac:dyDescent="0.3">
      <c r="B138" s="4"/>
      <c r="C138" s="4"/>
      <c r="D138" s="4"/>
      <c r="E138" s="4"/>
      <c r="F138" s="4"/>
      <c r="G138" s="4"/>
      <c r="H138" s="4"/>
      <c r="O138" s="51"/>
      <c r="P138" s="22" t="s">
        <v>118</v>
      </c>
      <c r="R138" s="51"/>
      <c r="S138" s="22" t="s">
        <v>119</v>
      </c>
      <c r="U138" s="22" t="str">
        <f>"Written approval from the "&amp;Tables!$F$23&amp;" is attached?"</f>
        <v>Written approval from the County is attached?</v>
      </c>
      <c r="AL138" s="91">
        <f>IF(AND(ISBLANK(O138),ISBLANK(R138)),1,2)</f>
        <v>1</v>
      </c>
      <c r="AM138" s="91">
        <f>IF(ISBLANK(R138),1,2)</f>
        <v>1</v>
      </c>
    </row>
    <row r="139" spans="2:43" ht="4.95" customHeight="1" x14ac:dyDescent="0.3">
      <c r="B139" s="4"/>
      <c r="C139" s="4"/>
      <c r="D139" s="4"/>
      <c r="E139" s="4"/>
      <c r="F139" s="4"/>
      <c r="G139" s="4"/>
      <c r="H139" s="4"/>
    </row>
    <row r="140" spans="2:43" ht="15" customHeight="1" x14ac:dyDescent="0.3">
      <c r="B140" s="4"/>
      <c r="C140" s="4"/>
      <c r="D140" s="4"/>
      <c r="E140" s="4"/>
      <c r="F140" s="4"/>
      <c r="G140" s="4"/>
      <c r="H140" s="4"/>
      <c r="R140" s="174"/>
      <c r="S140" s="173" t="s">
        <v>530</v>
      </c>
      <c r="U140" s="22" t="str">
        <f>"Post release rate design storm allowed by the "&amp;Tables!$F$23&amp;"."</f>
        <v>Post release rate design storm allowed by the County.</v>
      </c>
      <c r="AL140" s="228">
        <f>IF(ISBLANK(R140),0,VLOOKUP(R140,Storms[],2))</f>
        <v>0</v>
      </c>
      <c r="AM140" s="229"/>
    </row>
    <row r="141" spans="2:43" ht="4.95" customHeight="1" x14ac:dyDescent="0.3">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row>
    <row r="142" spans="2:43" ht="15" customHeight="1" x14ac:dyDescent="0.3">
      <c r="B142" s="4"/>
      <c r="C142" s="51"/>
      <c r="D142" s="22" t="s">
        <v>118</v>
      </c>
      <c r="F142" s="51"/>
      <c r="G142" s="22" t="s">
        <v>119</v>
      </c>
      <c r="I142" s="22" t="str">
        <f>"Does the project have "&amp;Tables!F37&amp;" for the adjacent property?"</f>
        <v>Does the project have Drainage Rights for the adjacent property?</v>
      </c>
      <c r="AL142" s="91">
        <f>IF(AND(ISBLANK(C142),ISBLANK(F142)),1,2)</f>
        <v>1</v>
      </c>
      <c r="AM142" s="91">
        <f>IF(ISBLANK(F142),1,2)</f>
        <v>1</v>
      </c>
      <c r="AN142" s="91">
        <f>IF(ISBLANK(C142),1,2)</f>
        <v>1</v>
      </c>
      <c r="AO142" s="91">
        <f>IF(ISBLANK(C124),0,2)</f>
        <v>0</v>
      </c>
      <c r="AP142" s="91">
        <f>IF(ISBLANK(C126),0,2)</f>
        <v>0</v>
      </c>
      <c r="AQ142" s="91">
        <f>IF(ISBLANK(F142),0,SUM(AO142:AP142))</f>
        <v>0</v>
      </c>
    </row>
    <row r="143" spans="2:43" ht="4.95" customHeight="1" x14ac:dyDescent="0.3">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row>
    <row r="144" spans="2:43" ht="15" customHeight="1" x14ac:dyDescent="0.3">
      <c r="C144" s="51"/>
      <c r="D144" s="22" t="s">
        <v>118</v>
      </c>
      <c r="F144" s="51"/>
      <c r="G144" s="22" t="s">
        <v>119</v>
      </c>
      <c r="I144" s="22" t="s">
        <v>372</v>
      </c>
      <c r="AL144" s="91">
        <f>IF(AND(ISBLANK(C144),ISBLANK(F144)),1,2)</f>
        <v>1</v>
      </c>
      <c r="AM144" s="91">
        <f>IF(ISBLANK(F144),1,2)</f>
        <v>1</v>
      </c>
    </row>
    <row r="145" spans="2:40" ht="4.95" customHeight="1" x14ac:dyDescent="0.3"/>
    <row r="146" spans="2:40" ht="15" customHeight="1" x14ac:dyDescent="0.3">
      <c r="C146" s="51"/>
      <c r="D146" s="22" t="s">
        <v>118</v>
      </c>
      <c r="F146" s="51"/>
      <c r="G146" s="22" t="s">
        <v>119</v>
      </c>
      <c r="I146" s="22" t="s">
        <v>379</v>
      </c>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91">
        <f>IF(AND(ISBLANK(C146),ISBLANK(F146)),1,2)</f>
        <v>1</v>
      </c>
      <c r="AM146" s="91">
        <f>IF(ISBLANK(C146),1,2)</f>
        <v>1</v>
      </c>
    </row>
    <row r="147" spans="2:40" ht="4.95" customHeight="1" x14ac:dyDescent="0.3">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row>
    <row r="148" spans="2:40" ht="15" customHeight="1" x14ac:dyDescent="0.3">
      <c r="I148" s="51"/>
      <c r="J148" s="22" t="s">
        <v>118</v>
      </c>
      <c r="L148" s="51"/>
      <c r="M148" s="22" t="s">
        <v>119</v>
      </c>
      <c r="N148" s="4"/>
      <c r="O148" s="22" t="s">
        <v>370</v>
      </c>
      <c r="P148" s="4"/>
      <c r="Q148" s="4"/>
      <c r="R148" s="4"/>
      <c r="S148" s="4"/>
      <c r="T148" s="4"/>
      <c r="U148" s="4"/>
      <c r="V148" s="4"/>
      <c r="W148" s="4"/>
      <c r="X148" s="4"/>
      <c r="Y148" s="4"/>
      <c r="Z148" s="4"/>
      <c r="AA148" s="4"/>
      <c r="AB148" s="4"/>
      <c r="AC148" s="4"/>
      <c r="AD148" s="4"/>
      <c r="AE148" s="4"/>
      <c r="AF148" s="4"/>
      <c r="AG148" s="4"/>
      <c r="AH148" s="4"/>
      <c r="AI148" s="4"/>
      <c r="AJ148" s="4"/>
      <c r="AK148" s="4"/>
      <c r="AL148" s="91">
        <f>IF(ISBLANK(I148),1,2)</f>
        <v>1</v>
      </c>
      <c r="AM148" s="91">
        <f>IF(ISBLANK(L148),1,2)</f>
        <v>1</v>
      </c>
      <c r="AN148" s="91">
        <f>SUM(AL148:AM148)</f>
        <v>2</v>
      </c>
    </row>
    <row r="149" spans="2:40" ht="4.95" customHeight="1" x14ac:dyDescent="0.3">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row>
    <row r="150" spans="2:40" ht="15" customHeight="1" x14ac:dyDescent="0.3">
      <c r="C150" s="51"/>
      <c r="D150" s="22" t="s">
        <v>118</v>
      </c>
      <c r="F150" s="51"/>
      <c r="G150" s="22" t="s">
        <v>119</v>
      </c>
      <c r="I150" s="22" t="s">
        <v>565</v>
      </c>
      <c r="AL150" s="91">
        <f>IF(AND(ISBLANK(C150),ISBLANK(F150)),1,2)</f>
        <v>1</v>
      </c>
      <c r="AM150" s="91">
        <f>IF(ISBLANK(F150),1,2)</f>
        <v>1</v>
      </c>
    </row>
    <row r="151" spans="2:40" ht="4.95" customHeight="1" x14ac:dyDescent="0.3"/>
    <row r="152" spans="2:40" ht="15" customHeight="1" x14ac:dyDescent="0.3">
      <c r="C152" s="51"/>
      <c r="D152" s="22" t="s">
        <v>118</v>
      </c>
      <c r="F152" s="51"/>
      <c r="G152" s="22" t="s">
        <v>119</v>
      </c>
      <c r="I152" s="22" t="s">
        <v>442</v>
      </c>
      <c r="AL152" s="91">
        <f>IF(AND(ISBLANK(C152),ISBLANK(F152)),1,2)</f>
        <v>1</v>
      </c>
      <c r="AM152" s="91">
        <f>IF(ISBLANK(F152),1,2)</f>
        <v>1</v>
      </c>
      <c r="AN152" s="91">
        <f>IF(AND(LEN(C152)&gt;0,LEN(F152)&gt;0),4,1)</f>
        <v>1</v>
      </c>
    </row>
    <row r="153" spans="2:40" ht="4.95" customHeight="1" x14ac:dyDescent="0.3">
      <c r="AL153" s="16"/>
      <c r="AM153" s="16"/>
      <c r="AN153" s="16"/>
    </row>
    <row r="154" spans="2:40" ht="15" customHeight="1" x14ac:dyDescent="0.3">
      <c r="C154" s="51"/>
      <c r="D154" s="22" t="s">
        <v>118</v>
      </c>
      <c r="F154" s="51"/>
      <c r="G154" s="22" t="s">
        <v>119</v>
      </c>
      <c r="I154" s="22" t="s">
        <v>566</v>
      </c>
      <c r="AL154" s="91">
        <f>IF(AND(ISBLANK(C154),ISBLANK(F154)),1,2)</f>
        <v>1</v>
      </c>
      <c r="AM154" s="91">
        <f>IF(ISBLANK(C154),1,2)</f>
        <v>1</v>
      </c>
      <c r="AN154" s="16"/>
    </row>
    <row r="155" spans="2:40" ht="15" customHeight="1" x14ac:dyDescent="0.3">
      <c r="I155" s="22" t="str">
        <f>IF(AND(AM154=2,Tables!$F$14="Prattville"),"The City shall waive the Permit Application Review Fee","")</f>
        <v/>
      </c>
      <c r="AL155" s="16"/>
      <c r="AM155" s="16"/>
      <c r="AN155" s="16"/>
    </row>
    <row r="156" spans="2:40" ht="15" customHeight="1" x14ac:dyDescent="0.3">
      <c r="B156" s="203">
        <f>Tables!$F$13</f>
        <v>45931</v>
      </c>
      <c r="C156" s="203"/>
      <c r="D156" s="203"/>
      <c r="E156" s="203"/>
      <c r="F156" s="203"/>
      <c r="G156" s="203"/>
      <c r="H156" s="203"/>
      <c r="R156" s="189" t="s">
        <v>225</v>
      </c>
      <c r="S156" s="189"/>
      <c r="T156" s="189"/>
      <c r="U156" s="189"/>
    </row>
    <row r="157" spans="2:40" ht="15" customHeight="1" x14ac:dyDescent="0.3">
      <c r="C157" s="2" t="s">
        <v>1</v>
      </c>
      <c r="D157" s="210">
        <f>IF(ISBLANK($E$7),0,$E$7)</f>
        <v>0</v>
      </c>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34"/>
      <c r="AD157" s="2" t="s">
        <v>19</v>
      </c>
      <c r="AE157" s="187">
        <f>IF(ISBLANK($AE$7),0,$AE$7)</f>
        <v>0</v>
      </c>
      <c r="AF157" s="187"/>
      <c r="AG157" s="187"/>
      <c r="AH157" s="187"/>
      <c r="AI157" s="187"/>
      <c r="AJ157" s="187"/>
    </row>
    <row r="158" spans="2:40" ht="15" customHeight="1" x14ac:dyDescent="0.3">
      <c r="C158" s="35"/>
      <c r="D158" s="35"/>
      <c r="E158" s="35"/>
      <c r="F158" s="35"/>
      <c r="G158" s="35"/>
      <c r="H158" s="35"/>
      <c r="I158" s="35"/>
      <c r="J158" s="2"/>
      <c r="K158" s="2"/>
      <c r="L158" s="2"/>
      <c r="M158" s="2"/>
      <c r="N158" s="35"/>
      <c r="O158" s="34"/>
      <c r="P158" s="34"/>
      <c r="Q158" s="34"/>
      <c r="R158" s="34"/>
      <c r="S158" s="34"/>
      <c r="T158" s="34"/>
      <c r="U158" s="34"/>
      <c r="V158" s="34"/>
      <c r="W158" s="34"/>
      <c r="X158" s="34"/>
      <c r="Y158" s="34"/>
      <c r="Z158" s="34"/>
      <c r="AD158" s="2" t="s">
        <v>32</v>
      </c>
      <c r="AE158" s="190">
        <f>IF(ISBLANK($AE$8),0,$AE$8)</f>
        <v>0</v>
      </c>
      <c r="AF158" s="190"/>
      <c r="AG158" s="190"/>
      <c r="AH158" s="190"/>
      <c r="AI158" s="190"/>
      <c r="AJ158" s="190"/>
    </row>
    <row r="159" spans="2:40" ht="15" customHeight="1" x14ac:dyDescent="0.3">
      <c r="B159" s="1" t="s">
        <v>17</v>
      </c>
      <c r="C159" s="1"/>
      <c r="D159" s="1"/>
      <c r="E159" s="1"/>
      <c r="F159" s="1"/>
      <c r="G159" s="1"/>
      <c r="H159" s="1"/>
      <c r="I159" s="1"/>
    </row>
    <row r="160" spans="2:40" ht="15" customHeight="1" x14ac:dyDescent="0.3">
      <c r="B160" s="86" t="s">
        <v>243</v>
      </c>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row>
    <row r="161" spans="2:35" ht="15" customHeight="1" x14ac:dyDescent="0.3">
      <c r="B161" s="49"/>
      <c r="C161" s="23" t="s">
        <v>106</v>
      </c>
      <c r="D161" s="86" t="str">
        <f>"Is designed in accordance with the latest version of the "&amp;Tables!$F$23&amp;"'s requirements;"</f>
        <v>Is designed in accordance with the latest version of the County's requirements;</v>
      </c>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row>
    <row r="162" spans="2:35" ht="15" customHeight="1" x14ac:dyDescent="0.3">
      <c r="B162" s="49"/>
      <c r="C162" s="23" t="s">
        <v>106</v>
      </c>
      <c r="D162" s="86" t="s">
        <v>241</v>
      </c>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row>
    <row r="163" spans="2:35" ht="15" customHeight="1" x14ac:dyDescent="0.3">
      <c r="B163" s="49"/>
      <c r="C163" s="23" t="s">
        <v>106</v>
      </c>
      <c r="D163" s="86" t="s">
        <v>444</v>
      </c>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c r="AH163" s="86"/>
      <c r="AI163" s="86"/>
    </row>
    <row r="164" spans="2:35" ht="15" customHeight="1" x14ac:dyDescent="0.3">
      <c r="B164" s="49"/>
      <c r="C164" s="23"/>
      <c r="D164" s="86" t="s">
        <v>445</v>
      </c>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row>
    <row r="165" spans="2:35" ht="15" customHeight="1" x14ac:dyDescent="0.3">
      <c r="B165" s="49"/>
      <c r="C165" s="23" t="s">
        <v>106</v>
      </c>
      <c r="D165" s="86" t="s">
        <v>244</v>
      </c>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row>
    <row r="166" spans="2:35" ht="15" customHeight="1" x14ac:dyDescent="0.3">
      <c r="B166" s="49"/>
      <c r="C166" s="23" t="s">
        <v>106</v>
      </c>
      <c r="D166" s="86" t="s">
        <v>242</v>
      </c>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row>
    <row r="167" spans="2:35" ht="15" customHeight="1" x14ac:dyDescent="0.3">
      <c r="B167" s="49"/>
      <c r="C167" s="23"/>
      <c r="D167" s="86"/>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row>
    <row r="168" spans="2:35" ht="15" customHeight="1" x14ac:dyDescent="0.3">
      <c r="E168" s="2" t="s">
        <v>197</v>
      </c>
      <c r="F168" s="204"/>
      <c r="G168" s="204"/>
      <c r="H168" s="204"/>
      <c r="I168" s="204"/>
      <c r="J168" s="204"/>
      <c r="K168" s="204"/>
      <c r="L168" s="204"/>
      <c r="M168" s="204"/>
      <c r="N168" s="204"/>
      <c r="O168" s="204"/>
      <c r="P168" s="204"/>
      <c r="Q168" s="204"/>
      <c r="R168" s="204"/>
      <c r="S168" s="204"/>
      <c r="T168" s="204"/>
      <c r="U168" s="204"/>
      <c r="V168" s="204"/>
      <c r="W168" s="204"/>
      <c r="X168" s="204"/>
      <c r="Y168" s="204"/>
      <c r="Z168" s="204"/>
      <c r="AC168" s="2" t="s">
        <v>316</v>
      </c>
      <c r="AD168" s="2"/>
      <c r="AE168" s="2"/>
      <c r="AF168" s="2"/>
    </row>
    <row r="169" spans="2:35" ht="15" customHeight="1" x14ac:dyDescent="0.3">
      <c r="E169" s="2" t="s">
        <v>129</v>
      </c>
      <c r="F169" s="205"/>
      <c r="G169" s="205"/>
      <c r="H169" s="205"/>
      <c r="I169" s="205"/>
      <c r="J169" s="205"/>
      <c r="K169" s="205"/>
      <c r="L169" s="205"/>
      <c r="M169" s="205"/>
      <c r="N169" s="205"/>
      <c r="O169" s="205"/>
      <c r="P169" s="205"/>
      <c r="Q169" s="205"/>
      <c r="R169" s="205"/>
      <c r="S169" s="205"/>
      <c r="T169" s="205"/>
      <c r="U169" s="205"/>
      <c r="V169" s="205"/>
      <c r="W169" s="205"/>
      <c r="X169" s="205"/>
      <c r="Y169" s="205"/>
      <c r="Z169" s="205"/>
    </row>
    <row r="170" spans="2:35" ht="15" customHeight="1" x14ac:dyDescent="0.3">
      <c r="E170" s="2" t="s">
        <v>130</v>
      </c>
      <c r="F170" s="205"/>
      <c r="G170" s="205"/>
      <c r="H170" s="205"/>
      <c r="I170" s="205"/>
      <c r="J170" s="205"/>
      <c r="K170" s="205"/>
      <c r="L170" s="205"/>
      <c r="M170" s="205"/>
      <c r="N170" s="205"/>
      <c r="O170" s="205"/>
      <c r="P170" s="205"/>
      <c r="Q170" s="205"/>
      <c r="R170" s="205"/>
      <c r="S170" s="205"/>
      <c r="T170" s="205"/>
      <c r="U170" s="205"/>
      <c r="V170" s="205"/>
      <c r="W170" s="205"/>
      <c r="X170" s="205"/>
      <c r="Y170" s="205"/>
      <c r="Z170" s="205"/>
    </row>
    <row r="171" spans="2:35" ht="15" customHeight="1" x14ac:dyDescent="0.3">
      <c r="E171" s="2" t="s">
        <v>269</v>
      </c>
      <c r="F171" s="205"/>
      <c r="G171" s="205"/>
      <c r="H171" s="205"/>
      <c r="I171" s="205"/>
      <c r="J171" s="205"/>
      <c r="K171" s="205"/>
      <c r="L171" s="205"/>
      <c r="M171" s="57"/>
      <c r="N171" s="57"/>
      <c r="O171" s="104" t="s">
        <v>133</v>
      </c>
      <c r="P171" s="205"/>
      <c r="Q171" s="205"/>
      <c r="R171" s="205"/>
      <c r="S171" s="205"/>
      <c r="T171" s="57"/>
      <c r="U171" s="57"/>
      <c r="V171" s="57"/>
      <c r="W171" s="104" t="s">
        <v>134</v>
      </c>
      <c r="X171" s="206"/>
      <c r="Y171" s="206"/>
      <c r="Z171" s="206"/>
    </row>
    <row r="172" spans="2:35" ht="15" customHeight="1" x14ac:dyDescent="0.3">
      <c r="E172" s="2" t="s">
        <v>131</v>
      </c>
      <c r="F172" s="207"/>
      <c r="G172" s="207"/>
      <c r="H172" s="207"/>
      <c r="I172" s="207"/>
      <c r="J172" s="207"/>
      <c r="K172" s="207"/>
      <c r="L172" s="207"/>
      <c r="M172" s="207"/>
      <c r="N172" s="207"/>
      <c r="O172" s="207"/>
      <c r="P172" s="207"/>
      <c r="Q172" s="207"/>
      <c r="R172" s="207"/>
      <c r="S172" s="207"/>
      <c r="T172" s="207"/>
      <c r="U172" s="207"/>
      <c r="V172" s="207"/>
      <c r="W172" s="207"/>
      <c r="X172" s="207"/>
      <c r="Y172" s="207"/>
      <c r="Z172" s="207"/>
    </row>
    <row r="173" spans="2:35" ht="15" customHeight="1" x14ac:dyDescent="0.3">
      <c r="E173" s="2" t="s">
        <v>135</v>
      </c>
      <c r="F173" s="208"/>
      <c r="G173" s="208"/>
      <c r="H173" s="208"/>
      <c r="I173" s="208"/>
      <c r="J173" s="208"/>
      <c r="V173" s="49"/>
      <c r="W173" s="49"/>
      <c r="X173" s="49"/>
    </row>
    <row r="174" spans="2:35" ht="15" customHeight="1" x14ac:dyDescent="0.3">
      <c r="E174" s="2"/>
      <c r="F174" s="57"/>
      <c r="G174" s="57"/>
      <c r="H174" s="57"/>
      <c r="I174" s="57"/>
      <c r="J174" s="57"/>
      <c r="V174" s="49"/>
      <c r="W174" s="49"/>
      <c r="X174" s="49"/>
    </row>
    <row r="175" spans="2:35" ht="15" customHeight="1" x14ac:dyDescent="0.3">
      <c r="E175" s="2" t="s">
        <v>198</v>
      </c>
      <c r="F175" s="81"/>
      <c r="G175" s="81"/>
      <c r="H175" s="81"/>
      <c r="I175" s="81"/>
      <c r="J175" s="81"/>
      <c r="K175" s="81"/>
      <c r="L175" s="81"/>
      <c r="M175" s="81"/>
      <c r="N175" s="81"/>
      <c r="O175" s="81"/>
      <c r="P175" s="81"/>
      <c r="Q175" s="81"/>
      <c r="R175" s="81"/>
      <c r="S175" s="81"/>
      <c r="T175" s="81"/>
      <c r="U175" s="81"/>
      <c r="V175" s="49"/>
      <c r="W175" s="49"/>
      <c r="X175" s="49"/>
      <c r="AC175" s="2" t="s">
        <v>193</v>
      </c>
      <c r="AD175" s="192"/>
      <c r="AE175" s="192"/>
      <c r="AF175" s="192"/>
      <c r="AG175" s="192"/>
      <c r="AH175" s="192"/>
    </row>
    <row r="176" spans="2:35" ht="15" customHeight="1" x14ac:dyDescent="0.3"/>
    <row r="177" spans="2:38" ht="15" customHeight="1" x14ac:dyDescent="0.3"/>
    <row r="178" spans="2:38" ht="15" customHeight="1" x14ac:dyDescent="0.3">
      <c r="B178" s="38" t="s">
        <v>80</v>
      </c>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40"/>
      <c r="AL178" s="14" t="s">
        <v>273</v>
      </c>
    </row>
    <row r="179" spans="2:38" ht="15" customHeight="1" x14ac:dyDescent="0.3">
      <c r="B179" s="41"/>
      <c r="C179" s="9"/>
      <c r="D179" s="9"/>
      <c r="E179" s="9"/>
      <c r="F179" s="9"/>
      <c r="G179" s="9"/>
      <c r="H179" s="9"/>
      <c r="I179" s="9"/>
      <c r="J179" s="42" t="s">
        <v>81</v>
      </c>
      <c r="K179" s="42"/>
      <c r="L179" s="43" t="s">
        <v>215</v>
      </c>
      <c r="M179" s="42"/>
      <c r="N179" s="42"/>
      <c r="O179" s="9"/>
      <c r="P179" s="9"/>
      <c r="Q179" s="9"/>
      <c r="R179" s="9"/>
      <c r="S179" s="9"/>
      <c r="T179" s="9"/>
      <c r="U179" s="9"/>
      <c r="V179" s="9"/>
      <c r="W179" s="9"/>
      <c r="X179" s="9"/>
      <c r="Y179" s="9"/>
      <c r="Z179" s="9"/>
      <c r="AA179" s="9"/>
      <c r="AB179" s="9"/>
      <c r="AC179" s="9"/>
      <c r="AD179" s="9"/>
      <c r="AE179" s="9"/>
      <c r="AF179" s="9"/>
      <c r="AG179" s="9"/>
      <c r="AH179" s="9"/>
      <c r="AI179" s="9"/>
      <c r="AJ179" s="44"/>
      <c r="AL179" s="91">
        <f>SUM(AL181:AL197)</f>
        <v>12</v>
      </c>
    </row>
    <row r="180" spans="2:38" ht="15" customHeight="1" x14ac:dyDescent="0.3">
      <c r="B180" s="41"/>
      <c r="C180" s="9"/>
      <c r="D180" s="9"/>
      <c r="E180" s="9"/>
      <c r="F180" s="9"/>
      <c r="G180" s="9"/>
      <c r="H180" s="9"/>
      <c r="I180" s="9"/>
      <c r="J180" s="10" t="s">
        <v>440</v>
      </c>
      <c r="K180" s="42"/>
      <c r="L180" s="9" t="str">
        <f>IF(ISBLANK(AD6),Tables!J19,"")</f>
        <v>Parcel No. has not been provided</v>
      </c>
      <c r="M180" s="42"/>
      <c r="N180" s="42"/>
      <c r="O180" s="9"/>
      <c r="P180" s="9"/>
      <c r="Q180" s="9"/>
      <c r="R180" s="9"/>
      <c r="S180" s="9"/>
      <c r="T180" s="9"/>
      <c r="U180" s="9"/>
      <c r="V180" s="9"/>
      <c r="W180" s="9"/>
      <c r="X180" s="9"/>
      <c r="Y180" s="9"/>
      <c r="Z180" s="9"/>
      <c r="AA180" s="9"/>
      <c r="AB180" s="9"/>
      <c r="AC180" s="9"/>
      <c r="AD180" s="9"/>
      <c r="AE180" s="9"/>
      <c r="AF180" s="9"/>
      <c r="AG180" s="9"/>
      <c r="AH180" s="9"/>
      <c r="AI180" s="9"/>
      <c r="AJ180" s="44"/>
      <c r="AL180" s="91">
        <f>IF(L180="",0,1)</f>
        <v>1</v>
      </c>
    </row>
    <row r="181" spans="2:38" ht="15" customHeight="1" x14ac:dyDescent="0.3">
      <c r="B181" s="41"/>
      <c r="C181" s="9"/>
      <c r="D181" s="9"/>
      <c r="E181" s="9"/>
      <c r="F181" s="9"/>
      <c r="G181" s="9"/>
      <c r="H181" s="9"/>
      <c r="I181" s="9"/>
      <c r="J181" s="10" t="s">
        <v>82</v>
      </c>
      <c r="K181" s="10"/>
      <c r="L181" s="9" t="str">
        <f>IF(AND(AL26&lt;6,AM26=6),Tables!J2,IF(AND(AL26=6,AM26=6),"",Tables!J2))</f>
        <v>Pre Total not completed</v>
      </c>
      <c r="M181" s="10"/>
      <c r="N181" s="10"/>
      <c r="O181" s="9"/>
      <c r="P181" s="9"/>
      <c r="Q181" s="9"/>
      <c r="R181" s="9"/>
      <c r="S181" s="9"/>
      <c r="T181" s="9"/>
      <c r="U181" s="9"/>
      <c r="V181" s="9"/>
      <c r="W181" s="9"/>
      <c r="X181" s="9"/>
      <c r="Y181" s="9"/>
      <c r="Z181" s="9"/>
      <c r="AA181" s="9"/>
      <c r="AB181" s="9"/>
      <c r="AC181" s="9"/>
      <c r="AD181" s="9"/>
      <c r="AE181" s="9"/>
      <c r="AF181" s="9"/>
      <c r="AG181" s="9"/>
      <c r="AH181" s="9"/>
      <c r="AI181" s="9"/>
      <c r="AJ181" s="44"/>
      <c r="AL181" s="91">
        <f>IF(L181="",0,1)</f>
        <v>1</v>
      </c>
    </row>
    <row r="182" spans="2:38" ht="15" customHeight="1" x14ac:dyDescent="0.3">
      <c r="B182" s="41"/>
      <c r="C182" s="9"/>
      <c r="D182" s="9"/>
      <c r="E182" s="9"/>
      <c r="F182" s="9"/>
      <c r="G182" s="9"/>
      <c r="H182" s="9"/>
      <c r="I182" s="9"/>
      <c r="J182" s="10" t="s">
        <v>83</v>
      </c>
      <c r="K182" s="10"/>
      <c r="L182" s="9" t="str">
        <f>IF(AND(AL39&lt;6,AM39=6),Tables!J3,IF(AND(AL39=6,AM39=6),"",Tables!J3))</f>
        <v>Post Total not completed</v>
      </c>
      <c r="M182" s="10"/>
      <c r="N182" s="10"/>
      <c r="O182" s="9"/>
      <c r="P182" s="9"/>
      <c r="Q182" s="9"/>
      <c r="R182" s="9"/>
      <c r="S182" s="9"/>
      <c r="T182" s="9"/>
      <c r="U182" s="9"/>
      <c r="V182" s="9"/>
      <c r="W182" s="9"/>
      <c r="X182" s="9"/>
      <c r="Y182" s="9"/>
      <c r="Z182" s="9"/>
      <c r="AA182" s="9"/>
      <c r="AB182" s="9"/>
      <c r="AC182" s="9"/>
      <c r="AD182" s="9"/>
      <c r="AE182" s="9"/>
      <c r="AF182" s="9"/>
      <c r="AG182" s="9"/>
      <c r="AH182" s="9"/>
      <c r="AI182" s="9"/>
      <c r="AJ182" s="44"/>
      <c r="AL182" s="91">
        <f t="shared" ref="AL182:AL197" si="21">IF(L182="",0,1)</f>
        <v>1</v>
      </c>
    </row>
    <row r="183" spans="2:38" ht="15" customHeight="1" x14ac:dyDescent="0.3">
      <c r="B183" s="41"/>
      <c r="C183" s="9"/>
      <c r="D183" s="9"/>
      <c r="E183" s="9"/>
      <c r="F183" s="9"/>
      <c r="G183" s="9"/>
      <c r="H183" s="9"/>
      <c r="I183" s="9"/>
      <c r="J183" s="10" t="s">
        <v>480</v>
      </c>
      <c r="K183" s="10"/>
      <c r="L183" s="9" t="str">
        <f>IF(AM88&gt;0,Tables!J20,"")</f>
        <v>Outlet protection section not completed</v>
      </c>
      <c r="M183" s="10"/>
      <c r="N183" s="10"/>
      <c r="O183" s="9"/>
      <c r="P183" s="9"/>
      <c r="Q183" s="9"/>
      <c r="R183" s="9"/>
      <c r="S183" s="9"/>
      <c r="T183" s="9"/>
      <c r="U183" s="9"/>
      <c r="V183" s="9"/>
      <c r="W183" s="9"/>
      <c r="X183" s="9"/>
      <c r="Y183" s="9"/>
      <c r="Z183" s="9"/>
      <c r="AA183" s="9"/>
      <c r="AB183" s="9"/>
      <c r="AC183" s="9"/>
      <c r="AD183" s="9"/>
      <c r="AE183" s="9"/>
      <c r="AF183" s="9"/>
      <c r="AG183" s="9"/>
      <c r="AH183" s="9"/>
      <c r="AI183" s="9"/>
      <c r="AJ183" s="44"/>
      <c r="AL183" s="91"/>
    </row>
    <row r="184" spans="2:38" ht="15" customHeight="1" x14ac:dyDescent="0.3">
      <c r="B184" s="41"/>
      <c r="C184" s="9"/>
      <c r="D184" s="9"/>
      <c r="E184" s="9"/>
      <c r="F184" s="9"/>
      <c r="G184" s="9"/>
      <c r="H184" s="9"/>
      <c r="I184" s="9"/>
      <c r="J184" s="10" t="s">
        <v>84</v>
      </c>
      <c r="K184" s="10"/>
      <c r="L184" s="9" t="str">
        <f>IF(AM82&lt;6,Tables!J4,"")</f>
        <v>Emergency Spillway Section not completed</v>
      </c>
      <c r="M184" s="10"/>
      <c r="N184" s="10"/>
      <c r="O184" s="9"/>
      <c r="P184" s="9"/>
      <c r="Q184" s="9"/>
      <c r="R184" s="9"/>
      <c r="S184" s="9"/>
      <c r="T184" s="9"/>
      <c r="U184" s="9"/>
      <c r="V184" s="9"/>
      <c r="W184" s="9"/>
      <c r="X184" s="9"/>
      <c r="Y184" s="9"/>
      <c r="Z184" s="9"/>
      <c r="AA184" s="9"/>
      <c r="AB184" s="9"/>
      <c r="AC184" s="9"/>
      <c r="AD184" s="9"/>
      <c r="AE184" s="9"/>
      <c r="AF184" s="9"/>
      <c r="AG184" s="9"/>
      <c r="AH184" s="9"/>
      <c r="AI184" s="9"/>
      <c r="AJ184" s="44"/>
      <c r="AL184" s="91">
        <f t="shared" si="21"/>
        <v>1</v>
      </c>
    </row>
    <row r="185" spans="2:38" ht="15" customHeight="1" x14ac:dyDescent="0.3">
      <c r="B185" s="41"/>
      <c r="C185" s="9"/>
      <c r="D185" s="9"/>
      <c r="E185" s="9"/>
      <c r="F185" s="9"/>
      <c r="G185" s="9"/>
      <c r="H185" s="9"/>
      <c r="I185" s="9"/>
      <c r="J185" s="10" t="s">
        <v>267</v>
      </c>
      <c r="K185" s="10"/>
      <c r="L185" s="9" t="str">
        <f>IF(OR(AL112&lt;1,AL113&lt;1),Tables!J11,"")</f>
        <v>Freeboard  &lt;  1.0 ft</v>
      </c>
      <c r="M185" s="10"/>
      <c r="N185" s="10"/>
      <c r="O185" s="9"/>
      <c r="P185" s="9"/>
      <c r="Q185" s="9"/>
      <c r="R185" s="9"/>
      <c r="S185" s="9"/>
      <c r="T185" s="9"/>
      <c r="U185" s="9"/>
      <c r="V185" s="9"/>
      <c r="W185" s="9"/>
      <c r="X185" s="9"/>
      <c r="Y185" s="9"/>
      <c r="Z185" s="9"/>
      <c r="AA185" s="9"/>
      <c r="AB185" s="9"/>
      <c r="AC185" s="9"/>
      <c r="AD185" s="9"/>
      <c r="AE185" s="9"/>
      <c r="AF185" s="9"/>
      <c r="AG185" s="9"/>
      <c r="AH185" s="9"/>
      <c r="AI185" s="9"/>
      <c r="AJ185" s="44"/>
      <c r="AL185" s="91">
        <f t="shared" si="21"/>
        <v>1</v>
      </c>
    </row>
    <row r="186" spans="2:38" ht="15" customHeight="1" x14ac:dyDescent="0.3">
      <c r="B186" s="41"/>
      <c r="C186" s="9"/>
      <c r="D186" s="9"/>
      <c r="E186" s="9"/>
      <c r="F186" s="9"/>
      <c r="G186" s="9"/>
      <c r="H186" s="9"/>
      <c r="I186" s="9"/>
      <c r="J186" s="10" t="s">
        <v>107</v>
      </c>
      <c r="K186" s="10"/>
      <c r="L186" s="9" t="str">
        <f>IF(AO86&lt;2,Tables!J8,"")</f>
        <v>Latitude and/or Longitude not provided</v>
      </c>
      <c r="M186" s="10"/>
      <c r="N186" s="10"/>
      <c r="O186" s="9"/>
      <c r="P186" s="9"/>
      <c r="Q186" s="9"/>
      <c r="R186" s="9"/>
      <c r="S186" s="9"/>
      <c r="T186" s="9"/>
      <c r="U186" s="9"/>
      <c r="V186" s="9"/>
      <c r="W186" s="9"/>
      <c r="X186" s="9"/>
      <c r="Y186" s="9"/>
      <c r="Z186" s="9"/>
      <c r="AA186" s="9"/>
      <c r="AB186" s="9"/>
      <c r="AC186" s="9"/>
      <c r="AD186" s="9"/>
      <c r="AE186" s="9"/>
      <c r="AF186" s="9"/>
      <c r="AG186" s="9"/>
      <c r="AH186" s="9"/>
      <c r="AI186" s="9"/>
      <c r="AJ186" s="44"/>
      <c r="AL186" s="91">
        <f t="shared" si="21"/>
        <v>1</v>
      </c>
    </row>
    <row r="187" spans="2:38" ht="15" customHeight="1" x14ac:dyDescent="0.3">
      <c r="B187" s="41"/>
      <c r="C187" s="9"/>
      <c r="D187" s="9"/>
      <c r="E187" s="9"/>
      <c r="F187" s="9"/>
      <c r="G187" s="9"/>
      <c r="H187" s="9"/>
      <c r="I187" s="9"/>
      <c r="J187" s="10"/>
      <c r="K187" s="10"/>
      <c r="L187" s="9" t="str">
        <f>IF(AND(AQ86=1,AS86=1),Tables!$J$14,IF(OR(AQ86=3,AS86=3),Tables!$J$14,""))</f>
        <v>Latitude and/or Longitude has been entered as text.  Change to a number.</v>
      </c>
      <c r="M187" s="10"/>
      <c r="N187" s="10"/>
      <c r="O187" s="9"/>
      <c r="P187" s="9"/>
      <c r="Q187" s="9"/>
      <c r="R187" s="9"/>
      <c r="S187" s="9"/>
      <c r="T187" s="9"/>
      <c r="U187" s="9"/>
      <c r="V187" s="9"/>
      <c r="W187" s="9"/>
      <c r="X187" s="9"/>
      <c r="Y187" s="9"/>
      <c r="Z187" s="9"/>
      <c r="AA187" s="9"/>
      <c r="AB187" s="9"/>
      <c r="AC187" s="9"/>
      <c r="AD187" s="9"/>
      <c r="AE187" s="9"/>
      <c r="AF187" s="9"/>
      <c r="AG187" s="9"/>
      <c r="AH187" s="9"/>
      <c r="AI187" s="9"/>
      <c r="AJ187" s="44"/>
      <c r="AL187" s="91">
        <f t="shared" si="21"/>
        <v>1</v>
      </c>
    </row>
    <row r="188" spans="2:38" ht="15" customHeight="1" x14ac:dyDescent="0.3">
      <c r="B188" s="41"/>
      <c r="C188" s="9"/>
      <c r="D188" s="9"/>
      <c r="E188" s="9"/>
      <c r="F188" s="9"/>
      <c r="G188" s="9"/>
      <c r="H188" s="9"/>
      <c r="I188" s="9"/>
      <c r="J188" s="10" t="s">
        <v>142</v>
      </c>
      <c r="K188" s="10"/>
      <c r="L188" s="9" t="str">
        <f>IF(AM102=2,Tables!J9,IF(AM101=1,"",Tables!J9))</f>
        <v>WQv Required &gt; WQv Provided</v>
      </c>
      <c r="M188" s="10"/>
      <c r="N188" s="10"/>
      <c r="O188" s="9"/>
      <c r="P188" s="9"/>
      <c r="Q188" s="9"/>
      <c r="R188" s="9"/>
      <c r="S188" s="9"/>
      <c r="T188" s="9"/>
      <c r="U188" s="9"/>
      <c r="V188" s="9"/>
      <c r="W188" s="9"/>
      <c r="X188" s="9"/>
      <c r="Y188" s="9"/>
      <c r="Z188" s="9"/>
      <c r="AA188" s="9"/>
      <c r="AB188" s="9"/>
      <c r="AC188" s="9"/>
      <c r="AD188" s="9"/>
      <c r="AE188" s="9"/>
      <c r="AF188" s="9"/>
      <c r="AG188" s="9"/>
      <c r="AH188" s="9"/>
      <c r="AI188" s="9"/>
      <c r="AJ188" s="44"/>
      <c r="AL188" s="91">
        <f t="shared" si="21"/>
        <v>1</v>
      </c>
    </row>
    <row r="189" spans="2:38" ht="15" customHeight="1" x14ac:dyDescent="0.3">
      <c r="B189" s="41"/>
      <c r="C189" s="9"/>
      <c r="D189" s="9"/>
      <c r="E189" s="9"/>
      <c r="F189" s="9"/>
      <c r="G189" s="9"/>
      <c r="H189" s="9"/>
      <c r="I189" s="9"/>
      <c r="J189" s="10" t="s">
        <v>482</v>
      </c>
      <c r="K189" s="10"/>
      <c r="L189" s="9" t="str">
        <f>IF(AL92=0,Tables!J21,IF(AL92=1,Tables!J21,""))</f>
        <v>Slope of the bottom of the detention pond  &lt; 2.00%</v>
      </c>
      <c r="M189" s="10"/>
      <c r="N189" s="10"/>
      <c r="O189" s="9"/>
      <c r="P189" s="9"/>
      <c r="Q189" s="9"/>
      <c r="R189" s="9"/>
      <c r="S189" s="9"/>
      <c r="T189" s="9"/>
      <c r="U189" s="9"/>
      <c r="V189" s="9"/>
      <c r="W189" s="9"/>
      <c r="X189" s="9"/>
      <c r="Y189" s="9"/>
      <c r="Z189" s="9"/>
      <c r="AA189" s="9"/>
      <c r="AB189" s="9"/>
      <c r="AC189" s="9"/>
      <c r="AD189" s="9"/>
      <c r="AE189" s="9"/>
      <c r="AF189" s="9"/>
      <c r="AG189" s="9"/>
      <c r="AH189" s="9"/>
      <c r="AI189" s="9"/>
      <c r="AJ189" s="44"/>
      <c r="AL189" s="91"/>
    </row>
    <row r="190" spans="2:38" ht="15" customHeight="1" x14ac:dyDescent="0.3">
      <c r="B190" s="41"/>
      <c r="C190" s="9"/>
      <c r="D190" s="9"/>
      <c r="E190" s="9"/>
      <c r="F190" s="9"/>
      <c r="G190" s="9"/>
      <c r="H190" s="9"/>
      <c r="I190" s="9"/>
      <c r="J190" s="102" t="s">
        <v>85</v>
      </c>
      <c r="K190" s="10"/>
      <c r="L190" s="9"/>
      <c r="M190" s="10"/>
      <c r="N190" s="10"/>
      <c r="O190" s="9"/>
      <c r="P190" s="9"/>
      <c r="Q190" s="9"/>
      <c r="R190" s="9"/>
      <c r="S190" s="9"/>
      <c r="T190" s="9"/>
      <c r="U190" s="9"/>
      <c r="V190" s="9"/>
      <c r="W190" s="9"/>
      <c r="X190" s="9"/>
      <c r="Y190" s="9"/>
      <c r="Z190" s="9"/>
      <c r="AA190" s="9"/>
      <c r="AB190" s="9"/>
      <c r="AC190" s="9"/>
      <c r="AD190" s="9"/>
      <c r="AE190" s="9"/>
      <c r="AF190" s="9"/>
      <c r="AG190" s="9"/>
      <c r="AH190" s="9"/>
      <c r="AI190" s="9"/>
      <c r="AJ190" s="44"/>
      <c r="AL190" s="91">
        <f t="shared" si="21"/>
        <v>0</v>
      </c>
    </row>
    <row r="191" spans="2:38" ht="15" customHeight="1" x14ac:dyDescent="0.3">
      <c r="B191" s="41"/>
      <c r="C191" s="9"/>
      <c r="D191" s="9"/>
      <c r="E191" s="9"/>
      <c r="F191" s="9"/>
      <c r="G191" s="9"/>
      <c r="H191" s="9"/>
      <c r="I191" s="9"/>
      <c r="J191" s="10" t="s">
        <v>79</v>
      </c>
      <c r="K191" s="10"/>
      <c r="L191" s="9" t="str">
        <f>IF(AL107&gt;0,Tables!J7,"")</f>
        <v>Max Stage for 2, 5, 10, 25, and/or 50-year storm  &gt; emergency spillway crest elevation</v>
      </c>
      <c r="M191" s="10"/>
      <c r="N191" s="10"/>
      <c r="O191" s="9"/>
      <c r="P191" s="9"/>
      <c r="Q191" s="9"/>
      <c r="R191" s="9"/>
      <c r="S191" s="9"/>
      <c r="T191" s="9"/>
      <c r="U191" s="9"/>
      <c r="V191" s="9"/>
      <c r="W191" s="9"/>
      <c r="X191" s="9"/>
      <c r="Y191" s="9"/>
      <c r="Z191" s="9"/>
      <c r="AA191" s="9"/>
      <c r="AB191" s="9"/>
      <c r="AC191" s="9"/>
      <c r="AD191" s="9"/>
      <c r="AE191" s="9"/>
      <c r="AF191" s="9"/>
      <c r="AG191" s="9"/>
      <c r="AH191" s="9"/>
      <c r="AI191" s="9"/>
      <c r="AJ191" s="44"/>
      <c r="AL191" s="91">
        <f t="shared" si="21"/>
        <v>1</v>
      </c>
    </row>
    <row r="192" spans="2:38" ht="15" customHeight="1" x14ac:dyDescent="0.3">
      <c r="B192" s="41"/>
      <c r="C192" s="9"/>
      <c r="D192" s="9"/>
      <c r="E192" s="9"/>
      <c r="F192" s="9"/>
      <c r="G192" s="9"/>
      <c r="H192" s="9"/>
      <c r="I192" s="9"/>
      <c r="J192" s="10" t="s">
        <v>229</v>
      </c>
      <c r="K192" s="10"/>
      <c r="L192" s="9" t="str">
        <f>IF(AR$107&gt;0,Tables!J18,"")</f>
        <v>Outlet Control Structure Velocity &gt; 6 ft/s</v>
      </c>
      <c r="M192" s="10"/>
      <c r="N192" s="10"/>
      <c r="O192" s="9"/>
      <c r="P192" s="9"/>
      <c r="Q192" s="9"/>
      <c r="R192" s="9"/>
      <c r="S192" s="9"/>
      <c r="T192" s="9"/>
      <c r="U192" s="9"/>
      <c r="V192" s="9"/>
      <c r="W192" s="9"/>
      <c r="X192" s="9"/>
      <c r="Y192" s="9"/>
      <c r="Z192" s="9"/>
      <c r="AA192" s="9"/>
      <c r="AB192" s="9"/>
      <c r="AC192" s="9"/>
      <c r="AD192" s="9"/>
      <c r="AE192" s="9"/>
      <c r="AF192" s="9"/>
      <c r="AG192" s="9"/>
      <c r="AH192" s="9"/>
      <c r="AI192" s="9"/>
      <c r="AJ192" s="44"/>
      <c r="AL192" s="91">
        <f t="shared" si="21"/>
        <v>1</v>
      </c>
    </row>
    <row r="193" spans="2:38" ht="15" customHeight="1" x14ac:dyDescent="0.3">
      <c r="B193" s="41"/>
      <c r="C193" s="9"/>
      <c r="D193" s="9"/>
      <c r="E193" s="9"/>
      <c r="F193" s="9"/>
      <c r="G193" s="9"/>
      <c r="H193" s="9"/>
      <c r="I193" s="9"/>
      <c r="J193" s="10"/>
      <c r="K193" s="10"/>
      <c r="L193" s="9" t="str">
        <f>IF(AM$107&gt;0,Tables!J6,"")</f>
        <v>Emergency Spillway Velocity &gt; 6 ft/s</v>
      </c>
      <c r="M193" s="10"/>
      <c r="N193" s="10"/>
      <c r="O193" s="9"/>
      <c r="P193" s="9"/>
      <c r="Q193" s="9"/>
      <c r="R193" s="9"/>
      <c r="S193" s="9"/>
      <c r="T193" s="9"/>
      <c r="U193" s="9"/>
      <c r="V193" s="9"/>
      <c r="W193" s="9"/>
      <c r="X193" s="9"/>
      <c r="Y193" s="9"/>
      <c r="Z193" s="9"/>
      <c r="AA193" s="9"/>
      <c r="AB193" s="9"/>
      <c r="AC193" s="9"/>
      <c r="AD193" s="9"/>
      <c r="AE193" s="9"/>
      <c r="AF193" s="9"/>
      <c r="AG193" s="9"/>
      <c r="AH193" s="9"/>
      <c r="AI193" s="9"/>
      <c r="AJ193" s="44"/>
      <c r="AL193" s="91">
        <f>IF(L193="",0,1)</f>
        <v>1</v>
      </c>
    </row>
    <row r="194" spans="2:38" ht="15" customHeight="1" x14ac:dyDescent="0.3">
      <c r="B194" s="41"/>
      <c r="C194" s="9"/>
      <c r="D194" s="9"/>
      <c r="E194" s="9"/>
      <c r="F194" s="9"/>
      <c r="G194" s="9"/>
      <c r="H194" s="9"/>
      <c r="I194" s="9"/>
      <c r="J194" s="10" t="s">
        <v>86</v>
      </c>
      <c r="K194" s="10"/>
      <c r="L194" s="9" t="str">
        <f>IF(OR(AN107&gt;0,AO107&gt;0),Tables!J5,"")</f>
        <v>Total Post Q &gt; Pre Q</v>
      </c>
      <c r="M194" s="10"/>
      <c r="N194" s="10"/>
      <c r="O194" s="9"/>
      <c r="P194" s="9"/>
      <c r="Q194" s="9"/>
      <c r="R194" s="9"/>
      <c r="S194" s="9"/>
      <c r="T194" s="9"/>
      <c r="U194" s="9"/>
      <c r="V194" s="9"/>
      <c r="W194" s="9"/>
      <c r="X194" s="9"/>
      <c r="Y194" s="9"/>
      <c r="Z194" s="9"/>
      <c r="AA194" s="9"/>
      <c r="AB194" s="9"/>
      <c r="AC194" s="9"/>
      <c r="AD194" s="9"/>
      <c r="AE194" s="9"/>
      <c r="AF194" s="9"/>
      <c r="AG194" s="9"/>
      <c r="AH194" s="9"/>
      <c r="AI194" s="9"/>
      <c r="AJ194" s="44"/>
      <c r="AL194" s="91">
        <f t="shared" si="21"/>
        <v>1</v>
      </c>
    </row>
    <row r="195" spans="2:38" ht="15" customHeight="1" x14ac:dyDescent="0.3">
      <c r="B195" s="41"/>
      <c r="C195" s="9"/>
      <c r="D195" s="9"/>
      <c r="E195" s="9"/>
      <c r="F195" s="9"/>
      <c r="G195" s="9"/>
      <c r="H195" s="9"/>
      <c r="I195" s="9"/>
      <c r="J195" s="10"/>
      <c r="K195" s="10"/>
      <c r="L195" s="9" t="str">
        <f>IF($AQ$107&gt;0,Tables!$J$12,"")</f>
        <v>Total Post Q is &lt; -0.50 ft3/s of Pre Q</v>
      </c>
      <c r="M195" s="10"/>
      <c r="N195" s="10"/>
      <c r="O195" s="9"/>
      <c r="P195" s="9"/>
      <c r="Q195" s="9"/>
      <c r="R195" s="9"/>
      <c r="S195" s="9"/>
      <c r="T195" s="9"/>
      <c r="U195" s="9"/>
      <c r="V195" s="9"/>
      <c r="W195" s="9"/>
      <c r="X195" s="9"/>
      <c r="Y195" s="9"/>
      <c r="Z195" s="9"/>
      <c r="AA195" s="9"/>
      <c r="AB195" s="9"/>
      <c r="AC195" s="9"/>
      <c r="AD195" s="9"/>
      <c r="AE195" s="9"/>
      <c r="AF195" s="9"/>
      <c r="AG195" s="9"/>
      <c r="AH195" s="9"/>
      <c r="AI195" s="9"/>
      <c r="AJ195" s="44"/>
      <c r="AL195" s="91">
        <f t="shared" si="21"/>
        <v>1</v>
      </c>
    </row>
    <row r="196" spans="2:38" ht="15" customHeight="1" x14ac:dyDescent="0.3">
      <c r="B196" s="41"/>
      <c r="C196" s="9"/>
      <c r="D196" s="9"/>
      <c r="E196" s="9"/>
      <c r="F196" s="9"/>
      <c r="G196" s="9"/>
      <c r="H196" s="9"/>
      <c r="I196" s="9"/>
      <c r="J196" s="10"/>
      <c r="K196" s="10"/>
      <c r="L196" s="9" t="str">
        <f>IF(AO124="Yes",IF(AND(ISBLANK(C124),ISBLANK(F124)),Tables!$J15,IF($AO$107&gt;0,Tables!$J15,"")),"")</f>
        <v/>
      </c>
      <c r="M196" s="10"/>
      <c r="N196" s="10"/>
      <c r="O196" s="9"/>
      <c r="P196" s="9"/>
      <c r="Q196" s="9"/>
      <c r="R196" s="9"/>
      <c r="S196" s="9"/>
      <c r="T196" s="9"/>
      <c r="U196" s="9"/>
      <c r="V196" s="9"/>
      <c r="W196" s="9"/>
      <c r="X196" s="9"/>
      <c r="Y196" s="9"/>
      <c r="Z196" s="9"/>
      <c r="AA196" s="9"/>
      <c r="AB196" s="9"/>
      <c r="AC196" s="9"/>
      <c r="AD196" s="9"/>
      <c r="AE196" s="9"/>
      <c r="AF196" s="9"/>
      <c r="AG196" s="9"/>
      <c r="AH196" s="9"/>
      <c r="AI196" s="9"/>
      <c r="AJ196" s="44"/>
      <c r="AL196" s="91">
        <f t="shared" si="21"/>
        <v>0</v>
      </c>
    </row>
    <row r="197" spans="2:38" ht="15" customHeight="1" x14ac:dyDescent="0.3">
      <c r="B197" s="45"/>
      <c r="C197" s="46"/>
      <c r="D197" s="46"/>
      <c r="E197" s="46"/>
      <c r="F197" s="46"/>
      <c r="G197" s="46"/>
      <c r="H197" s="46"/>
      <c r="I197" s="46"/>
      <c r="J197" s="47"/>
      <c r="K197" s="47"/>
      <c r="L197" s="46" t="str">
        <f>IF(AO126="Yes",IF(AND(ISBLANK(C126),ISBLANK(F126)),Tables!$J16,IF($AP$107&gt;0,Tables!$J16,"")),"")</f>
        <v/>
      </c>
      <c r="M197" s="47"/>
      <c r="N197" s="47"/>
      <c r="O197" s="46"/>
      <c r="P197" s="46"/>
      <c r="Q197" s="46"/>
      <c r="R197" s="46"/>
      <c r="S197" s="46"/>
      <c r="T197" s="46"/>
      <c r="U197" s="46"/>
      <c r="V197" s="46"/>
      <c r="W197" s="46"/>
      <c r="X197" s="46"/>
      <c r="Y197" s="46"/>
      <c r="Z197" s="46"/>
      <c r="AA197" s="46"/>
      <c r="AB197" s="46"/>
      <c r="AC197" s="46"/>
      <c r="AD197" s="46"/>
      <c r="AE197" s="46"/>
      <c r="AF197" s="46"/>
      <c r="AG197" s="46"/>
      <c r="AH197" s="46"/>
      <c r="AI197" s="46"/>
      <c r="AJ197" s="48"/>
      <c r="AL197" s="91">
        <f t="shared" si="21"/>
        <v>0</v>
      </c>
    </row>
    <row r="198" spans="2:38" ht="15" customHeight="1" x14ac:dyDescent="0.3">
      <c r="AK198" s="26"/>
    </row>
    <row r="199" spans="2:38" ht="15" customHeight="1" x14ac:dyDescent="0.3">
      <c r="B199" s="203">
        <f>Tables!$F$13</f>
        <v>45931</v>
      </c>
      <c r="C199" s="203"/>
      <c r="D199" s="203"/>
      <c r="E199" s="203"/>
      <c r="F199" s="203"/>
      <c r="G199" s="203"/>
      <c r="H199" s="203"/>
      <c r="R199" s="189" t="s">
        <v>224</v>
      </c>
      <c r="S199" s="189"/>
      <c r="T199" s="189"/>
      <c r="U199" s="189"/>
      <c r="AK199" s="26"/>
    </row>
    <row r="200" spans="2:38" ht="15" customHeight="1" x14ac:dyDescent="0.3">
      <c r="B200" s="88"/>
      <c r="C200" s="88"/>
      <c r="D200" s="88"/>
      <c r="E200" s="88"/>
      <c r="F200" s="88"/>
      <c r="G200" s="88"/>
      <c r="H200" s="88"/>
      <c r="R200" s="4"/>
      <c r="S200" s="4"/>
      <c r="T200" s="4"/>
      <c r="U200" s="4"/>
      <c r="AK200" s="26"/>
    </row>
    <row r="201" spans="2:38" ht="15" customHeight="1" x14ac:dyDescent="0.3"/>
    <row r="202" spans="2:38" ht="15" customHeight="1" x14ac:dyDescent="0.3"/>
    <row r="203" spans="2:38" ht="15" customHeight="1" x14ac:dyDescent="0.3"/>
    <row r="204" spans="2:38" ht="15" customHeight="1" x14ac:dyDescent="0.3"/>
    <row r="205" spans="2:38" ht="15" customHeight="1" x14ac:dyDescent="0.3"/>
    <row r="206" spans="2:38" ht="15" customHeight="1" x14ac:dyDescent="0.3"/>
    <row r="207" spans="2:38" ht="15" customHeight="1" x14ac:dyDescent="0.3"/>
  </sheetData>
  <sheetProtection algorithmName="SHA-512" hashValue="2L6SrMOQ6Xpn2g5Q6OH7TTxqehUqczrgsP8dRjmvND0AlRkbZP8Lm9vWAm61yOeaNHbXqnLJKTZUJI4cdzFmiw==" saltValue="1IL74WeMYkgi4jKgf9w37Q==" spinCount="100000" sheet="1" objects="1" scenarios="1" selectLockedCells="1"/>
  <mergeCells count="398">
    <mergeCell ref="C79:E79"/>
    <mergeCell ref="C80:E80"/>
    <mergeCell ref="F80:I80"/>
    <mergeCell ref="C94:E94"/>
    <mergeCell ref="H94:J94"/>
    <mergeCell ref="H100:J100"/>
    <mergeCell ref="L42:N42"/>
    <mergeCell ref="C77:E77"/>
    <mergeCell ref="F75:I75"/>
    <mergeCell ref="F76:I76"/>
    <mergeCell ref="F77:I77"/>
    <mergeCell ref="K77:M77"/>
    <mergeCell ref="C76:E76"/>
    <mergeCell ref="K79:M79"/>
    <mergeCell ref="F83:I83"/>
    <mergeCell ref="B53:H53"/>
    <mergeCell ref="F84:I84"/>
    <mergeCell ref="F90:G90"/>
    <mergeCell ref="M94:P94"/>
    <mergeCell ref="H98:J98"/>
    <mergeCell ref="C95:E95"/>
    <mergeCell ref="C96:E96"/>
    <mergeCell ref="C97:E97"/>
    <mergeCell ref="F31:G31"/>
    <mergeCell ref="C73:E73"/>
    <mergeCell ref="AL140:AM140"/>
    <mergeCell ref="F63:I63"/>
    <mergeCell ref="U76:W76"/>
    <mergeCell ref="U77:W77"/>
    <mergeCell ref="U78:W78"/>
    <mergeCell ref="M99:P99"/>
    <mergeCell ref="Q97:R97"/>
    <mergeCell ref="S98:U98"/>
    <mergeCell ref="S99:U99"/>
    <mergeCell ref="P71:R71"/>
    <mergeCell ref="L90:M90"/>
    <mergeCell ref="K94:L94"/>
    <mergeCell ref="P77:R77"/>
    <mergeCell ref="U75:W75"/>
    <mergeCell ref="K98:L98"/>
    <mergeCell ref="Q94:R94"/>
    <mergeCell ref="P31:R31"/>
    <mergeCell ref="L31:N31"/>
    <mergeCell ref="K100:L100"/>
    <mergeCell ref="C99:E99"/>
    <mergeCell ref="H96:J96"/>
    <mergeCell ref="H97:J97"/>
    <mergeCell ref="H101:J101"/>
    <mergeCell ref="B103:H103"/>
    <mergeCell ref="O83:Q83"/>
    <mergeCell ref="F32:G32"/>
    <mergeCell ref="T36:V36"/>
    <mergeCell ref="U61:X61"/>
    <mergeCell ref="L36:N36"/>
    <mergeCell ref="L32:N32"/>
    <mergeCell ref="X32:Z32"/>
    <mergeCell ref="U57:X57"/>
    <mergeCell ref="U58:X58"/>
    <mergeCell ref="X36:Z36"/>
    <mergeCell ref="P37:R37"/>
    <mergeCell ref="T37:V37"/>
    <mergeCell ref="T38:V38"/>
    <mergeCell ref="L45:N45"/>
    <mergeCell ref="L44:N44"/>
    <mergeCell ref="L43:N43"/>
    <mergeCell ref="F41:G41"/>
    <mergeCell ref="L37:N37"/>
    <mergeCell ref="C100:E100"/>
    <mergeCell ref="D27:E32"/>
    <mergeCell ref="D40:E45"/>
    <mergeCell ref="F30:G30"/>
    <mergeCell ref="P36:R36"/>
    <mergeCell ref="P73:R73"/>
    <mergeCell ref="AE69:AG69"/>
    <mergeCell ref="Z69:AB69"/>
    <mergeCell ref="AB43:AD43"/>
    <mergeCell ref="P42:R42"/>
    <mergeCell ref="U69:W69"/>
    <mergeCell ref="U71:W71"/>
    <mergeCell ref="P69:R69"/>
    <mergeCell ref="P38:R38"/>
    <mergeCell ref="Y59:Z59"/>
    <mergeCell ref="AF45:AH45"/>
    <mergeCell ref="Y58:Z58"/>
    <mergeCell ref="T39:V39"/>
    <mergeCell ref="T40:V40"/>
    <mergeCell ref="T44:V44"/>
    <mergeCell ref="T45:V45"/>
    <mergeCell ref="T41:V41"/>
    <mergeCell ref="T42:V42"/>
    <mergeCell ref="U73:W73"/>
    <mergeCell ref="P65:R65"/>
    <mergeCell ref="P67:R67"/>
    <mergeCell ref="P63:R63"/>
    <mergeCell ref="AB42:AD42"/>
    <mergeCell ref="BN1:CC4"/>
    <mergeCell ref="D157:Y157"/>
    <mergeCell ref="AE157:AJ157"/>
    <mergeCell ref="X37:Z37"/>
    <mergeCell ref="AF42:AH42"/>
    <mergeCell ref="AF43:AH43"/>
    <mergeCell ref="AF44:AH44"/>
    <mergeCell ref="W84:Y84"/>
    <mergeCell ref="L41:N41"/>
    <mergeCell ref="L40:N40"/>
    <mergeCell ref="L39:N39"/>
    <mergeCell ref="W1:AK4"/>
    <mergeCell ref="AB31:AD31"/>
    <mergeCell ref="AB32:AD32"/>
    <mergeCell ref="AB40:AD40"/>
    <mergeCell ref="AB41:AD41"/>
    <mergeCell ref="X38:Z38"/>
    <mergeCell ref="AF37:AH37"/>
    <mergeCell ref="AF40:AH40"/>
    <mergeCell ref="C78:E78"/>
    <mergeCell ref="C75:E75"/>
    <mergeCell ref="T43:V43"/>
    <mergeCell ref="R53:U53"/>
    <mergeCell ref="X45:Z45"/>
    <mergeCell ref="AV7:BJ8"/>
    <mergeCell ref="AI15:AJ15"/>
    <mergeCell ref="AE12:AF12"/>
    <mergeCell ref="AD6:AJ6"/>
    <mergeCell ref="AE7:AJ7"/>
    <mergeCell ref="AE8:AJ8"/>
    <mergeCell ref="X26:Z26"/>
    <mergeCell ref="X27:Z27"/>
    <mergeCell ref="X28:Z28"/>
    <mergeCell ref="W19:Z19"/>
    <mergeCell ref="AB28:AD28"/>
    <mergeCell ref="AA12:AD12"/>
    <mergeCell ref="E7:X7"/>
    <mergeCell ref="E8:X8"/>
    <mergeCell ref="L28:N28"/>
    <mergeCell ref="L27:N27"/>
    <mergeCell ref="L26:N26"/>
    <mergeCell ref="L25:N25"/>
    <mergeCell ref="L24:N24"/>
    <mergeCell ref="AF27:AH27"/>
    <mergeCell ref="AF24:AH24"/>
    <mergeCell ref="N14:O14"/>
    <mergeCell ref="F27:G27"/>
    <mergeCell ref="F28:G28"/>
    <mergeCell ref="AE13:AF13"/>
    <mergeCell ref="J14:M14"/>
    <mergeCell ref="J15:M15"/>
    <mergeCell ref="J16:M16"/>
    <mergeCell ref="J17:M17"/>
    <mergeCell ref="AB24:AD24"/>
    <mergeCell ref="AB25:AD25"/>
    <mergeCell ref="AA13:AD13"/>
    <mergeCell ref="X25:Z25"/>
    <mergeCell ref="J18:M18"/>
    <mergeCell ref="P24:R24"/>
    <mergeCell ref="P25:R25"/>
    <mergeCell ref="N16:O16"/>
    <mergeCell ref="N17:O17"/>
    <mergeCell ref="N18:O18"/>
    <mergeCell ref="N19:O19"/>
    <mergeCell ref="AA15:AB15"/>
    <mergeCell ref="I24:J24"/>
    <mergeCell ref="N15:O15"/>
    <mergeCell ref="AB23:AD23"/>
    <mergeCell ref="AE15:AH15"/>
    <mergeCell ref="J19:M19"/>
    <mergeCell ref="W15:Z15"/>
    <mergeCell ref="W18:Z18"/>
    <mergeCell ref="X24:Z24"/>
    <mergeCell ref="T24:V24"/>
    <mergeCell ref="T25:V25"/>
    <mergeCell ref="P27:R27"/>
    <mergeCell ref="P28:R28"/>
    <mergeCell ref="AF23:AH23"/>
    <mergeCell ref="L23:N23"/>
    <mergeCell ref="P23:R23"/>
    <mergeCell ref="T23:V23"/>
    <mergeCell ref="P26:R26"/>
    <mergeCell ref="AB27:AD27"/>
    <mergeCell ref="X23:Z23"/>
    <mergeCell ref="AF28:AH28"/>
    <mergeCell ref="AB26:AD26"/>
    <mergeCell ref="T26:V26"/>
    <mergeCell ref="T27:V27"/>
    <mergeCell ref="AF29:AH29"/>
    <mergeCell ref="AB29:AD29"/>
    <mergeCell ref="T28:V28"/>
    <mergeCell ref="AF30:AH30"/>
    <mergeCell ref="L30:N30"/>
    <mergeCell ref="AB30:AD30"/>
    <mergeCell ref="T30:V30"/>
    <mergeCell ref="P30:R30"/>
    <mergeCell ref="K78:M78"/>
    <mergeCell ref="T32:V32"/>
    <mergeCell ref="AF31:AH31"/>
    <mergeCell ref="AE55:AJ55"/>
    <mergeCell ref="AF41:AH41"/>
    <mergeCell ref="AF32:AH32"/>
    <mergeCell ref="AB44:AD44"/>
    <mergeCell ref="AB45:AD45"/>
    <mergeCell ref="P43:R43"/>
    <mergeCell ref="P44:R44"/>
    <mergeCell ref="P45:R45"/>
    <mergeCell ref="AE54:AJ54"/>
    <mergeCell ref="AB36:AD36"/>
    <mergeCell ref="P32:R32"/>
    <mergeCell ref="P78:R78"/>
    <mergeCell ref="X29:Z29"/>
    <mergeCell ref="F29:G29"/>
    <mergeCell ref="F79:I79"/>
    <mergeCell ref="P39:R39"/>
    <mergeCell ref="F78:I78"/>
    <mergeCell ref="K80:M80"/>
    <mergeCell ref="P75:R75"/>
    <mergeCell ref="K75:M75"/>
    <mergeCell ref="K76:M76"/>
    <mergeCell ref="P76:R76"/>
    <mergeCell ref="D54:Y54"/>
    <mergeCell ref="F43:G43"/>
    <mergeCell ref="F44:G44"/>
    <mergeCell ref="F45:G45"/>
    <mergeCell ref="X43:Z43"/>
    <mergeCell ref="X44:Z44"/>
    <mergeCell ref="P41:R41"/>
    <mergeCell ref="L38:N38"/>
    <mergeCell ref="T29:V29"/>
    <mergeCell ref="T31:V31"/>
    <mergeCell ref="F64:I64"/>
    <mergeCell ref="F65:I65"/>
    <mergeCell ref="F67:I67"/>
    <mergeCell ref="F68:I68"/>
    <mergeCell ref="Y61:Z61"/>
    <mergeCell ref="U59:X59"/>
    <mergeCell ref="AB37:AD37"/>
    <mergeCell ref="AB38:AD38"/>
    <mergeCell ref="AB39:AD39"/>
    <mergeCell ref="X41:Z41"/>
    <mergeCell ref="X42:Z42"/>
    <mergeCell ref="X39:Z39"/>
    <mergeCell ref="X40:Z40"/>
    <mergeCell ref="F42:G42"/>
    <mergeCell ref="F40:G40"/>
    <mergeCell ref="I37:J37"/>
    <mergeCell ref="P40:R40"/>
    <mergeCell ref="X30:Z30"/>
    <mergeCell ref="L29:N29"/>
    <mergeCell ref="P29:R29"/>
    <mergeCell ref="X31:Z31"/>
    <mergeCell ref="H58:J58"/>
    <mergeCell ref="H59:J59"/>
    <mergeCell ref="H57:J57"/>
    <mergeCell ref="V101:W101"/>
    <mergeCell ref="M100:P100"/>
    <mergeCell ref="S101:U101"/>
    <mergeCell ref="U79:W79"/>
    <mergeCell ref="U80:W80"/>
    <mergeCell ref="P80:R80"/>
    <mergeCell ref="P79:R79"/>
    <mergeCell ref="S94:U94"/>
    <mergeCell ref="O84:Q84"/>
    <mergeCell ref="L88:T88"/>
    <mergeCell ref="K101:L101"/>
    <mergeCell ref="S100:U100"/>
    <mergeCell ref="H99:J99"/>
    <mergeCell ref="K95:L95"/>
    <mergeCell ref="K96:L96"/>
    <mergeCell ref="K99:L99"/>
    <mergeCell ref="H95:J95"/>
    <mergeCell ref="AF84:AH84"/>
    <mergeCell ref="O86:R86"/>
    <mergeCell ref="AA94:AB94"/>
    <mergeCell ref="W86:Z86"/>
    <mergeCell ref="AG100:AH100"/>
    <mergeCell ref="AA95:AB95"/>
    <mergeCell ref="AA96:AB96"/>
    <mergeCell ref="AA97:AB97"/>
    <mergeCell ref="Q100:R100"/>
    <mergeCell ref="Q95:R95"/>
    <mergeCell ref="Q96:R96"/>
    <mergeCell ref="M95:P95"/>
    <mergeCell ref="M96:P96"/>
    <mergeCell ref="M97:P97"/>
    <mergeCell ref="Q99:R99"/>
    <mergeCell ref="AA98:AB98"/>
    <mergeCell ref="AA99:AB99"/>
    <mergeCell ref="AA100:AB100"/>
    <mergeCell ref="X97:Z97"/>
    <mergeCell ref="I109:K109"/>
    <mergeCell ref="I108:K108"/>
    <mergeCell ref="F69:I69"/>
    <mergeCell ref="F71:I71"/>
    <mergeCell ref="K69:M69"/>
    <mergeCell ref="K71:M71"/>
    <mergeCell ref="F73:I73"/>
    <mergeCell ref="K73:M73"/>
    <mergeCell ref="K97:L97"/>
    <mergeCell ref="M98:P98"/>
    <mergeCell ref="D104:Y104"/>
    <mergeCell ref="X94:Z94"/>
    <mergeCell ref="X98:Z98"/>
    <mergeCell ref="X99:Z99"/>
    <mergeCell ref="S95:U95"/>
    <mergeCell ref="S96:U96"/>
    <mergeCell ref="S97:U97"/>
    <mergeCell ref="X95:Z95"/>
    <mergeCell ref="X96:Z96"/>
    <mergeCell ref="R90:S90"/>
    <mergeCell ref="Q98:R98"/>
    <mergeCell ref="C93:E93"/>
    <mergeCell ref="C98:E98"/>
    <mergeCell ref="X100:Z100"/>
    <mergeCell ref="C112:D112"/>
    <mergeCell ref="C113:D113"/>
    <mergeCell ref="R103:U103"/>
    <mergeCell ref="B199:H199"/>
    <mergeCell ref="R199:U199"/>
    <mergeCell ref="F168:Z168"/>
    <mergeCell ref="F169:Z169"/>
    <mergeCell ref="F170:Z170"/>
    <mergeCell ref="F171:L171"/>
    <mergeCell ref="P171:S171"/>
    <mergeCell ref="X171:Z171"/>
    <mergeCell ref="F172:Z172"/>
    <mergeCell ref="B156:H156"/>
    <mergeCell ref="R156:U156"/>
    <mergeCell ref="F173:J173"/>
    <mergeCell ref="M112:O112"/>
    <mergeCell ref="M113:O113"/>
    <mergeCell ref="Q113:S113"/>
    <mergeCell ref="C108:D108"/>
    <mergeCell ref="C109:D109"/>
    <mergeCell ref="U109:W109"/>
    <mergeCell ref="U108:W108"/>
    <mergeCell ref="I111:K111"/>
    <mergeCell ref="I110:K110"/>
    <mergeCell ref="Y111:AA111"/>
    <mergeCell ref="Y112:AA112"/>
    <mergeCell ref="M111:O111"/>
    <mergeCell ref="M110:O110"/>
    <mergeCell ref="M109:O109"/>
    <mergeCell ref="M108:O108"/>
    <mergeCell ref="AD175:AH175"/>
    <mergeCell ref="AC108:AE108"/>
    <mergeCell ref="AC109:AE109"/>
    <mergeCell ref="AC110:AE110"/>
    <mergeCell ref="AC111:AE111"/>
    <mergeCell ref="AC112:AE112"/>
    <mergeCell ref="AG113:AI113"/>
    <mergeCell ref="AC113:AE113"/>
    <mergeCell ref="AG109:AI109"/>
    <mergeCell ref="AG110:AI110"/>
    <mergeCell ref="AG111:AI111"/>
    <mergeCell ref="AE158:AJ158"/>
    <mergeCell ref="B115:AJ121"/>
    <mergeCell ref="AG112:AI112"/>
    <mergeCell ref="AG108:AI108"/>
    <mergeCell ref="I112:K112"/>
    <mergeCell ref="C110:D110"/>
    <mergeCell ref="C111:D111"/>
    <mergeCell ref="U113:W113"/>
    <mergeCell ref="Q107:S107"/>
    <mergeCell ref="M107:O107"/>
    <mergeCell ref="I107:K107"/>
    <mergeCell ref="AE105:AJ105"/>
    <mergeCell ref="AG107:AJ107"/>
    <mergeCell ref="AC106:AE106"/>
    <mergeCell ref="U107:W107"/>
    <mergeCell ref="Y107:AA107"/>
    <mergeCell ref="Y106:AA106"/>
    <mergeCell ref="U112:W112"/>
    <mergeCell ref="U111:W111"/>
    <mergeCell ref="U110:W110"/>
    <mergeCell ref="AC107:AE107"/>
    <mergeCell ref="Q109:S109"/>
    <mergeCell ref="Q110:S110"/>
    <mergeCell ref="Q108:S108"/>
    <mergeCell ref="Q112:S112"/>
    <mergeCell ref="Q111:S111"/>
    <mergeCell ref="I113:K113"/>
    <mergeCell ref="Y113:AA113"/>
    <mergeCell ref="Y108:AA108"/>
    <mergeCell ref="Y109:AA109"/>
    <mergeCell ref="Y110:AA110"/>
    <mergeCell ref="AP114:AQ114"/>
    <mergeCell ref="AC95:AF95"/>
    <mergeCell ref="AC96:AF96"/>
    <mergeCell ref="AC97:AF97"/>
    <mergeCell ref="AC98:AF98"/>
    <mergeCell ref="AC94:AF94"/>
    <mergeCell ref="AG94:AH94"/>
    <mergeCell ref="AC100:AF100"/>
    <mergeCell ref="AC99:AF99"/>
    <mergeCell ref="AG95:AH95"/>
    <mergeCell ref="AG96:AH96"/>
    <mergeCell ref="AG97:AH97"/>
    <mergeCell ref="AG98:AH98"/>
    <mergeCell ref="AG99:AH99"/>
    <mergeCell ref="AC101:AF101"/>
    <mergeCell ref="AE104:AJ104"/>
  </mergeCells>
  <conditionalFormatting sqref="B115:AJ121">
    <cfRule type="expression" dxfId="368" priority="1369">
      <formula>$AL$179&gt;0</formula>
    </cfRule>
    <cfRule type="cellIs" priority="1368" stopIfTrue="1" operator="greaterThan">
      <formula>0</formula>
    </cfRule>
  </conditionalFormatting>
  <conditionalFormatting sqref="C73">
    <cfRule type="cellIs" priority="1166" operator="greaterThan">
      <formula>0</formula>
    </cfRule>
    <cfRule type="expression" dxfId="367" priority="1167">
      <formula>$AL$73=1</formula>
    </cfRule>
  </conditionalFormatting>
  <conditionalFormatting sqref="C124 F124">
    <cfRule type="expression" dxfId="366" priority="191">
      <formula>$AL124=1</formula>
    </cfRule>
  </conditionalFormatting>
  <conditionalFormatting sqref="C124">
    <cfRule type="expression" dxfId="365" priority="192">
      <formula>$AM124=2</formula>
    </cfRule>
  </conditionalFormatting>
  <conditionalFormatting sqref="C126 F126">
    <cfRule type="expression" dxfId="364" priority="132">
      <formula>$AL126=1</formula>
    </cfRule>
  </conditionalFormatting>
  <conditionalFormatting sqref="C126">
    <cfRule type="expression" dxfId="363" priority="133">
      <formula>$AM126=2</formula>
    </cfRule>
  </conditionalFormatting>
  <conditionalFormatting sqref="C144 F144">
    <cfRule type="expression" dxfId="362" priority="188">
      <formula>$AL144=1</formula>
    </cfRule>
  </conditionalFormatting>
  <conditionalFormatting sqref="C146 F146">
    <cfRule type="expression" dxfId="361" priority="211">
      <formula>$AL$146=1</formula>
    </cfRule>
  </conditionalFormatting>
  <conditionalFormatting sqref="C146">
    <cfRule type="expression" dxfId="360" priority="212">
      <formula>$AM$146=2</formula>
    </cfRule>
  </conditionalFormatting>
  <conditionalFormatting sqref="C152 F152">
    <cfRule type="expression" dxfId="359" priority="37">
      <formula>$AL152=1</formula>
    </cfRule>
    <cfRule type="expression" dxfId="358" priority="36">
      <formula>$AN152=4</formula>
    </cfRule>
  </conditionalFormatting>
  <conditionalFormatting sqref="C154 F154">
    <cfRule type="expression" dxfId="357" priority="2">
      <formula>$AL154=1</formula>
    </cfRule>
  </conditionalFormatting>
  <conditionalFormatting sqref="C94:E94">
    <cfRule type="cellIs" priority="269" operator="greaterThan">
      <formula>0</formula>
    </cfRule>
    <cfRule type="expression" dxfId="356" priority="270">
      <formula>ISBLANK($C$94)</formula>
    </cfRule>
  </conditionalFormatting>
  <conditionalFormatting sqref="D54 AE54:AE55 H101 D104 AE104:AE105">
    <cfRule type="cellIs" dxfId="355" priority="414" operator="equal">
      <formula>0</formula>
    </cfRule>
  </conditionalFormatting>
  <conditionalFormatting sqref="D157 AE157:AE158">
    <cfRule type="cellIs" dxfId="354" priority="291" operator="equal">
      <formula>0</formula>
    </cfRule>
  </conditionalFormatting>
  <conditionalFormatting sqref="E7:E8 AE7:AE8 F63 P63 F67 P67 F69 F71 F83:F84 O83:O84 W84 AC101">
    <cfRule type="expression" dxfId="353" priority="433">
      <formula>ISBLANK(E7)</formula>
    </cfRule>
  </conditionalFormatting>
  <conditionalFormatting sqref="F142 C142">
    <cfRule type="expression" dxfId="352" priority="33">
      <formula>$AL142=1</formula>
    </cfRule>
  </conditionalFormatting>
  <conditionalFormatting sqref="F142">
    <cfRule type="expression" dxfId="351" priority="32">
      <formula>$AQ$142&gt;0</formula>
    </cfRule>
  </conditionalFormatting>
  <conditionalFormatting sqref="F150 C150">
    <cfRule type="expression" dxfId="350" priority="35">
      <formula>$AL150=1</formula>
    </cfRule>
  </conditionalFormatting>
  <conditionalFormatting sqref="F150">
    <cfRule type="expression" dxfId="349" priority="34">
      <formula>$AM$150=2</formula>
    </cfRule>
  </conditionalFormatting>
  <conditionalFormatting sqref="F152">
    <cfRule type="expression" dxfId="348" priority="38">
      <formula>$AM$152=2</formula>
    </cfRule>
  </conditionalFormatting>
  <conditionalFormatting sqref="F168:F169">
    <cfRule type="expression" dxfId="347" priority="240">
      <formula>ISBLANK(F168)</formula>
    </cfRule>
  </conditionalFormatting>
  <conditionalFormatting sqref="F171:F173">
    <cfRule type="expression" dxfId="346" priority="235">
      <formula>ISBLANK(F171)</formula>
    </cfRule>
  </conditionalFormatting>
  <conditionalFormatting sqref="F75:H80">
    <cfRule type="expression" dxfId="345" priority="246">
      <formula>AL75=2</formula>
    </cfRule>
  </conditionalFormatting>
  <conditionalFormatting sqref="F64:I64">
    <cfRule type="expression" dxfId="344" priority="297">
      <formula>$AL$64=1</formula>
    </cfRule>
    <cfRule type="cellIs" priority="296" stopIfTrue="1" operator="greaterThan">
      <formula>0</formula>
    </cfRule>
    <cfRule type="expression" priority="295" stopIfTrue="1">
      <formula>$AL$65=2</formula>
    </cfRule>
  </conditionalFormatting>
  <conditionalFormatting sqref="F65:I65 P65:R65">
    <cfRule type="expression" priority="292" stopIfTrue="1">
      <formula>$AL$64=2</formula>
    </cfRule>
    <cfRule type="cellIs" priority="293" stopIfTrue="1" operator="greaterThan">
      <formula>0</formula>
    </cfRule>
    <cfRule type="expression" dxfId="343" priority="294">
      <formula>$AL$65</formula>
    </cfRule>
  </conditionalFormatting>
  <conditionalFormatting sqref="F73:I73 K73:M73 U73:W73">
    <cfRule type="expression" dxfId="342" priority="1169">
      <formula>$AL$73=2</formula>
    </cfRule>
    <cfRule type="cellIs" priority="1168" stopIfTrue="1" operator="greaterThan">
      <formula>0</formula>
    </cfRule>
  </conditionalFormatting>
  <conditionalFormatting sqref="F75:I80">
    <cfRule type="cellIs" priority="245" stopIfTrue="1" operator="greaterThan">
      <formula>0</formula>
    </cfRule>
  </conditionalFormatting>
  <conditionalFormatting sqref="F170:Z170">
    <cfRule type="expression" dxfId="341" priority="238">
      <formula>ISBLANK(F170)</formula>
    </cfRule>
  </conditionalFormatting>
  <conditionalFormatting sqref="G10 N10 U10">
    <cfRule type="expression" dxfId="340" priority="408">
      <formula>ISBLANK(G10)</formula>
    </cfRule>
  </conditionalFormatting>
  <conditionalFormatting sqref="G12 J12">
    <cfRule type="expression" dxfId="339" priority="102">
      <formula>$AL$12=1</formula>
    </cfRule>
  </conditionalFormatting>
  <conditionalFormatting sqref="H61 L61">
    <cfRule type="expression" dxfId="338" priority="305">
      <formula>$AM$61=1</formula>
    </cfRule>
  </conditionalFormatting>
  <conditionalFormatting sqref="H94 M94">
    <cfRule type="expression" dxfId="337" priority="362">
      <formula>$AL$94=2</formula>
    </cfRule>
    <cfRule type="cellIs" priority="300" operator="greaterThan">
      <formula>0</formula>
    </cfRule>
  </conditionalFormatting>
  <conditionalFormatting sqref="H95 M95">
    <cfRule type="expression" dxfId="336" priority="360">
      <formula>$AL$95=2</formula>
    </cfRule>
  </conditionalFormatting>
  <conditionalFormatting sqref="H95:H100 M95:M100">
    <cfRule type="cellIs" priority="343" stopIfTrue="1" operator="greaterThan">
      <formula>0</formula>
    </cfRule>
  </conditionalFormatting>
  <conditionalFormatting sqref="H96 M96">
    <cfRule type="expression" dxfId="335" priority="358">
      <formula>$AL$96=2</formula>
    </cfRule>
  </conditionalFormatting>
  <conditionalFormatting sqref="H97 M97">
    <cfRule type="expression" dxfId="334" priority="356">
      <formula>$AL$97=2</formula>
    </cfRule>
  </conditionalFormatting>
  <conditionalFormatting sqref="H98 M98">
    <cfRule type="expression" dxfId="333" priority="354">
      <formula>$AL$98=2</formula>
    </cfRule>
  </conditionalFormatting>
  <conditionalFormatting sqref="H99 M99">
    <cfRule type="expression" dxfId="332" priority="352">
      <formula>$AL$99=2</formula>
    </cfRule>
  </conditionalFormatting>
  <conditionalFormatting sqref="H100 M100">
    <cfRule type="expression" dxfId="331" priority="350">
      <formula>$AL$100=2</formula>
    </cfRule>
  </conditionalFormatting>
  <conditionalFormatting sqref="H57:J59 U57:X59">
    <cfRule type="expression" dxfId="330" priority="298">
      <formula>ISBLANK(H57)</formula>
    </cfRule>
  </conditionalFormatting>
  <conditionalFormatting sqref="H94:J94">
    <cfRule type="expression" priority="268" stopIfTrue="1">
      <formula>$AN$94=2</formula>
    </cfRule>
  </conditionalFormatting>
  <conditionalFormatting sqref="H94:J100 X94:Z100 AC94:AF100">
    <cfRule type="expression" dxfId="329" priority="216">
      <formula>$AM$58=2</formula>
    </cfRule>
    <cfRule type="expression" dxfId="328" priority="215">
      <formula>$AM$58=1</formula>
    </cfRule>
  </conditionalFormatting>
  <conditionalFormatting sqref="I24">
    <cfRule type="expression" dxfId="327" priority="57">
      <formula>$AM$14=3</formula>
    </cfRule>
  </conditionalFormatting>
  <conditionalFormatting sqref="I37">
    <cfRule type="expression" dxfId="326" priority="53">
      <formula>$AM$14=3</formula>
    </cfRule>
  </conditionalFormatting>
  <conditionalFormatting sqref="I75:I80">
    <cfRule type="expression" dxfId="325" priority="1360">
      <formula>AQ75=2</formula>
    </cfRule>
  </conditionalFormatting>
  <conditionalFormatting sqref="I108:I113">
    <cfRule type="expression" dxfId="324" priority="266">
      <formula>ISBLANK(I108)</formula>
    </cfRule>
  </conditionalFormatting>
  <conditionalFormatting sqref="I130 L130">
    <cfRule type="expression" dxfId="323" priority="24">
      <formula>$AL130=1</formula>
    </cfRule>
  </conditionalFormatting>
  <conditionalFormatting sqref="I130">
    <cfRule type="expression" dxfId="322" priority="23">
      <formula>$AM130=2</formula>
    </cfRule>
  </conditionalFormatting>
  <conditionalFormatting sqref="I136 L136">
    <cfRule type="expression" dxfId="321" priority="9">
      <formula>$AL136=1</formula>
    </cfRule>
  </conditionalFormatting>
  <conditionalFormatting sqref="I148 L148">
    <cfRule type="expression" dxfId="320" priority="210">
      <formula>$AM$146=2</formula>
    </cfRule>
  </conditionalFormatting>
  <conditionalFormatting sqref="I24:J24">
    <cfRule type="expression" dxfId="319" priority="56">
      <formula>$AL$12=1</formula>
    </cfRule>
  </conditionalFormatting>
  <conditionalFormatting sqref="I37:J37">
    <cfRule type="expression" dxfId="318" priority="52">
      <formula>$AL$12=1</formula>
    </cfRule>
  </conditionalFormatting>
  <conditionalFormatting sqref="J14:J18">
    <cfRule type="expression" dxfId="317" priority="424">
      <formula>ISBLANK(J14)</formula>
    </cfRule>
  </conditionalFormatting>
  <conditionalFormatting sqref="J14:M19 P24:R24 T24:V24 X24:Z24 AB24:AD24 AF24:AH24 P37:R37 T37:V37 X37:Z37 AB37:AD37 AF37:AH37">
    <cfRule type="expression" dxfId="316" priority="83">
      <formula>$AM$14=2</formula>
    </cfRule>
    <cfRule type="expression" dxfId="315" priority="84">
      <formula>$AM$14=1</formula>
    </cfRule>
  </conditionalFormatting>
  <conditionalFormatting sqref="J19:M19">
    <cfRule type="cellIs" dxfId="314" priority="85" operator="equal">
      <formula>0</formula>
    </cfRule>
  </conditionalFormatting>
  <conditionalFormatting sqref="K69 N69 S69 U69 Z69">
    <cfRule type="expression" dxfId="313" priority="445">
      <formula>$AL$69=2</formula>
    </cfRule>
    <cfRule type="cellIs" dxfId="312" priority="444" operator="greaterThan">
      <formula>0</formula>
    </cfRule>
  </conditionalFormatting>
  <conditionalFormatting sqref="K71 U71">
    <cfRule type="cellIs" dxfId="311" priority="441" operator="greaterThan">
      <formula>0</formula>
    </cfRule>
    <cfRule type="expression" dxfId="310" priority="442">
      <formula>$AL$71=2</formula>
    </cfRule>
  </conditionalFormatting>
  <conditionalFormatting sqref="K94:K100 Q94:Q100">
    <cfRule type="expression" dxfId="309" priority="230">
      <formula>$AM$58=3</formula>
    </cfRule>
  </conditionalFormatting>
  <conditionalFormatting sqref="K94:L100 Q94:R100">
    <cfRule type="expression" dxfId="308" priority="229">
      <formula>$AL$56=1</formula>
    </cfRule>
  </conditionalFormatting>
  <conditionalFormatting sqref="K75:M75 U75:W75">
    <cfRule type="expression" dxfId="307" priority="1175">
      <formula>$AL$75=2</formula>
    </cfRule>
  </conditionalFormatting>
  <conditionalFormatting sqref="K75:M80 U75:W80">
    <cfRule type="cellIs" priority="1174" stopIfTrue="1" operator="greaterThan">
      <formula>0</formula>
    </cfRule>
  </conditionalFormatting>
  <conditionalFormatting sqref="K76:M76 U76:W76">
    <cfRule type="expression" dxfId="306" priority="1181">
      <formula>$AL$76=2</formula>
    </cfRule>
  </conditionalFormatting>
  <conditionalFormatting sqref="K77:M77 U77:W77">
    <cfRule type="expression" dxfId="305" priority="1187">
      <formula>$AL$77=2</formula>
    </cfRule>
  </conditionalFormatting>
  <conditionalFormatting sqref="K78:M78 U78:W78">
    <cfRule type="expression" dxfId="304" priority="1193">
      <formula>$AL$78=2</formula>
    </cfRule>
  </conditionalFormatting>
  <conditionalFormatting sqref="K79:M79 U79:W79">
    <cfRule type="expression" dxfId="303" priority="1199">
      <formula>$AL$79=2</formula>
    </cfRule>
  </conditionalFormatting>
  <conditionalFormatting sqref="K80:M80 U80:W80">
    <cfRule type="expression" dxfId="302" priority="1205">
      <formula>$AL$80=2</formula>
    </cfRule>
  </conditionalFormatting>
  <conditionalFormatting sqref="L24:L32">
    <cfRule type="expression" dxfId="301" priority="318">
      <formula>$L$22=2</formula>
    </cfRule>
    <cfRule type="cellIs" dxfId="300" priority="257" stopIfTrue="1" operator="greaterThan">
      <formula>0</formula>
    </cfRule>
  </conditionalFormatting>
  <conditionalFormatting sqref="L37:L45">
    <cfRule type="cellIs" dxfId="299" priority="396" operator="greaterThan">
      <formula>0</formula>
    </cfRule>
    <cfRule type="expression" dxfId="298" priority="397">
      <formula>$L$35=2</formula>
    </cfRule>
  </conditionalFormatting>
  <conditionalFormatting sqref="L128 I128">
    <cfRule type="expression" dxfId="297" priority="30">
      <formula>$AL128=1</formula>
    </cfRule>
  </conditionalFormatting>
  <conditionalFormatting sqref="L128">
    <cfRule type="expression" dxfId="296" priority="29">
      <formula>$AM128=2</formula>
    </cfRule>
  </conditionalFormatting>
  <conditionalFormatting sqref="L148 I148">
    <cfRule type="expression" priority="209" stopIfTrue="1">
      <formula>$AN$148=3</formula>
    </cfRule>
  </conditionalFormatting>
  <conditionalFormatting sqref="L148">
    <cfRule type="expression" dxfId="295" priority="208" stopIfTrue="1">
      <formula>$AM$148=2</formula>
    </cfRule>
  </conditionalFormatting>
  <conditionalFormatting sqref="L23:N23">
    <cfRule type="cellIs" priority="289" operator="greaterThan">
      <formula>0</formula>
    </cfRule>
    <cfRule type="expression" dxfId="294" priority="290">
      <formula>ISBLANK($L$23)</formula>
    </cfRule>
  </conditionalFormatting>
  <conditionalFormatting sqref="L24:N24">
    <cfRule type="expression" dxfId="293" priority="48">
      <formula>$AM$14=2</formula>
    </cfRule>
    <cfRule type="expression" dxfId="292" priority="49">
      <formula>$AM$14=1</formula>
    </cfRule>
  </conditionalFormatting>
  <conditionalFormatting sqref="L36:N36">
    <cfRule type="expression" dxfId="291" priority="288">
      <formula>ISBLANK($L$36)</formula>
    </cfRule>
    <cfRule type="cellIs" priority="287" operator="greaterThan">
      <formula>0</formula>
    </cfRule>
  </conditionalFormatting>
  <conditionalFormatting sqref="L37:N37">
    <cfRule type="expression" dxfId="290" priority="42">
      <formula>$AM$14=1</formula>
    </cfRule>
    <cfRule type="expression" dxfId="289" priority="41">
      <formula>$AM$14=2</formula>
    </cfRule>
  </conditionalFormatting>
  <conditionalFormatting sqref="L88:T88 F90:G90 L90:M90 R90:S90">
    <cfRule type="expression" dxfId="288" priority="10">
      <formula>ISBLANK(F88)</formula>
    </cfRule>
  </conditionalFormatting>
  <conditionalFormatting sqref="M108:M113">
    <cfRule type="expression" dxfId="287" priority="255">
      <formula>ISBLANK(M108)</formula>
    </cfRule>
  </conditionalFormatting>
  <conditionalFormatting sqref="M94:P94">
    <cfRule type="expression" priority="1362" stopIfTrue="1">
      <formula>$AO$94=2</formula>
    </cfRule>
  </conditionalFormatting>
  <conditionalFormatting sqref="M94:P100">
    <cfRule type="expression" dxfId="286" priority="214">
      <formula>$AM$58=2</formula>
    </cfRule>
    <cfRule type="expression" dxfId="285" priority="213">
      <formula>$AM$58=1</formula>
    </cfRule>
  </conditionalFormatting>
  <conditionalFormatting sqref="N14:N19">
    <cfRule type="expression" dxfId="284" priority="93">
      <formula>$AM$14=3</formula>
    </cfRule>
  </conditionalFormatting>
  <conditionalFormatting sqref="N56 S56">
    <cfRule type="expression" dxfId="283" priority="439">
      <formula>$AL$56=1</formula>
    </cfRule>
  </conditionalFormatting>
  <conditionalFormatting sqref="N14:O19">
    <cfRule type="expression" dxfId="282" priority="92">
      <formula>$AL$12=1</formula>
    </cfRule>
  </conditionalFormatting>
  <conditionalFormatting sqref="O132 R132">
    <cfRule type="expression" dxfId="281" priority="28">
      <formula>$AM130=2</formula>
    </cfRule>
  </conditionalFormatting>
  <conditionalFormatting sqref="O134 R134">
    <cfRule type="expression" dxfId="280" priority="26">
      <formula>$AM130=2</formula>
    </cfRule>
  </conditionalFormatting>
  <conditionalFormatting sqref="O138 R138">
    <cfRule type="expression" dxfId="279" priority="8">
      <formula>$AM136=2</formula>
    </cfRule>
  </conditionalFormatting>
  <conditionalFormatting sqref="O86:R86 W86:Z86">
    <cfRule type="cellIs" dxfId="278" priority="45" operator="equal">
      <formula>0</formula>
    </cfRule>
  </conditionalFormatting>
  <conditionalFormatting sqref="O86:R86">
    <cfRule type="expression" dxfId="277" priority="1373">
      <formula>$AQ$86=3</formula>
    </cfRule>
  </conditionalFormatting>
  <conditionalFormatting sqref="P37:P45">
    <cfRule type="expression" dxfId="276" priority="1056">
      <formula>$P$35=2</formula>
    </cfRule>
    <cfRule type="cellIs" dxfId="275" priority="1055" operator="greaterThan">
      <formula>0</formula>
    </cfRule>
  </conditionalFormatting>
  <conditionalFormatting sqref="P171">
    <cfRule type="expression" dxfId="274" priority="236">
      <formula>ISBLANK(P171)</formula>
    </cfRule>
  </conditionalFormatting>
  <conditionalFormatting sqref="P23:R32">
    <cfRule type="expression" dxfId="273" priority="304">
      <formula>$P$22=2</formula>
    </cfRule>
    <cfRule type="cellIs" priority="303" stopIfTrue="1" operator="greaterThan">
      <formula>0</formula>
    </cfRule>
  </conditionalFormatting>
  <conditionalFormatting sqref="Q108:Q113 U108:U113 AC108:AC113">
    <cfRule type="expression" dxfId="272" priority="134" stopIfTrue="1">
      <formula>ISBLANK(Q108)</formula>
    </cfRule>
  </conditionalFormatting>
  <conditionalFormatting sqref="R132 O132">
    <cfRule type="expression" priority="27" stopIfTrue="1">
      <formula>$AL132=2</formula>
    </cfRule>
  </conditionalFormatting>
  <conditionalFormatting sqref="R132">
    <cfRule type="expression" dxfId="271" priority="22" stopIfTrue="1">
      <formula>$AM132=2</formula>
    </cfRule>
  </conditionalFormatting>
  <conditionalFormatting sqref="R134 O134">
    <cfRule type="expression" priority="25" stopIfTrue="1">
      <formula>$AL134=2</formula>
    </cfRule>
  </conditionalFormatting>
  <conditionalFormatting sqref="R134">
    <cfRule type="expression" dxfId="270" priority="21" stopIfTrue="1">
      <formula>$AM134=2</formula>
    </cfRule>
  </conditionalFormatting>
  <conditionalFormatting sqref="R138 O138">
    <cfRule type="expression" priority="7" stopIfTrue="1">
      <formula>$AL138=2</formula>
    </cfRule>
  </conditionalFormatting>
  <conditionalFormatting sqref="R138">
    <cfRule type="expression" dxfId="269" priority="6" stopIfTrue="1">
      <formula>$AM138=2</formula>
    </cfRule>
  </conditionalFormatting>
  <conditionalFormatting sqref="R140">
    <cfRule type="expression" dxfId="268" priority="5">
      <formula>$AM136=2</formula>
    </cfRule>
    <cfRule type="cellIs" priority="4" stopIfTrue="1" operator="greaterThan">
      <formula>0</formula>
    </cfRule>
  </conditionalFormatting>
  <conditionalFormatting sqref="S25:S26 S27:T32">
    <cfRule type="cellIs" dxfId="267" priority="314" operator="greaterThan">
      <formula>0</formula>
    </cfRule>
  </conditionalFormatting>
  <conditionalFormatting sqref="S25:S32">
    <cfRule type="expression" dxfId="266" priority="404">
      <formula>$R$22=2</formula>
    </cfRule>
  </conditionalFormatting>
  <conditionalFormatting sqref="S101">
    <cfRule type="expression" dxfId="265" priority="243">
      <formula>ISBLANK(S101)</formula>
    </cfRule>
    <cfRule type="cellIs" dxfId="264" priority="1128" operator="lessThan">
      <formula>$H101</formula>
    </cfRule>
  </conditionalFormatting>
  <conditionalFormatting sqref="S101:U101">
    <cfRule type="expression" dxfId="263" priority="1129">
      <formula>$AN$101=2</formula>
    </cfRule>
  </conditionalFormatting>
  <conditionalFormatting sqref="T24:T26">
    <cfRule type="cellIs" dxfId="262" priority="1121" operator="greaterThan">
      <formula>0</formula>
    </cfRule>
  </conditionalFormatting>
  <conditionalFormatting sqref="T24:T32">
    <cfRule type="expression" dxfId="261" priority="1122">
      <formula>$T$22=2</formula>
    </cfRule>
  </conditionalFormatting>
  <conditionalFormatting sqref="T37:T45">
    <cfRule type="cellIs" dxfId="260" priority="1099" operator="greaterThan">
      <formula>0</formula>
    </cfRule>
    <cfRule type="expression" dxfId="259" priority="1100">
      <formula>$T$35=2</formula>
    </cfRule>
  </conditionalFormatting>
  <conditionalFormatting sqref="U108:U111">
    <cfRule type="cellIs" dxfId="258" priority="261" operator="greaterThan">
      <formula>$W$84</formula>
    </cfRule>
  </conditionalFormatting>
  <conditionalFormatting sqref="U112">
    <cfRule type="expression" dxfId="257" priority="135">
      <formula>$AL$112&lt;1</formula>
    </cfRule>
  </conditionalFormatting>
  <conditionalFormatting sqref="U113">
    <cfRule type="expression" dxfId="256" priority="410">
      <formula>$AL$113&lt;1</formula>
    </cfRule>
  </conditionalFormatting>
  <conditionalFormatting sqref="U58:X59 X61">
    <cfRule type="expression" dxfId="255" priority="234">
      <formula>$AM$58=1</formula>
    </cfRule>
    <cfRule type="expression" dxfId="254" priority="233">
      <formula>$AM$58=2</formula>
    </cfRule>
  </conditionalFormatting>
  <conditionalFormatting sqref="U61:X61">
    <cfRule type="expression" dxfId="253" priority="302">
      <formula>$AL$61=1</formula>
    </cfRule>
    <cfRule type="cellIs" priority="301" stopIfTrue="1" operator="greaterThan">
      <formula>0</formula>
    </cfRule>
  </conditionalFormatting>
  <conditionalFormatting sqref="W15:Z15">
    <cfRule type="expression" dxfId="252" priority="79">
      <formula>$AM$14=2</formula>
    </cfRule>
    <cfRule type="cellIs" dxfId="251" priority="265" operator="equal">
      <formula>0</formula>
    </cfRule>
    <cfRule type="expression" priority="264" stopIfTrue="1">
      <formula>$AL$15=1</formula>
    </cfRule>
    <cfRule type="expression" dxfId="250" priority="80">
      <formula>$AM$14=1</formula>
    </cfRule>
  </conditionalFormatting>
  <conditionalFormatting sqref="W18:Z19">
    <cfRule type="expression" priority="262" stopIfTrue="1">
      <formula>$AL$15=1</formula>
    </cfRule>
    <cfRule type="cellIs" dxfId="249" priority="263" operator="equal">
      <formula>0</formula>
    </cfRule>
  </conditionalFormatting>
  <conditionalFormatting sqref="W86:Z86">
    <cfRule type="expression" dxfId="248" priority="1374">
      <formula>$AS$86=3</formula>
    </cfRule>
  </conditionalFormatting>
  <conditionalFormatting sqref="X24:X32">
    <cfRule type="expression" dxfId="247" priority="1124">
      <formula>$X$22=2</formula>
    </cfRule>
    <cfRule type="cellIs" dxfId="246" priority="1123" operator="greaterThan">
      <formula>0</formula>
    </cfRule>
  </conditionalFormatting>
  <conditionalFormatting sqref="X37:X45">
    <cfRule type="cellIs" dxfId="245" priority="1109" operator="greaterThan">
      <formula>0</formula>
    </cfRule>
    <cfRule type="expression" dxfId="244" priority="1110">
      <formula>$X$35=2</formula>
    </cfRule>
  </conditionalFormatting>
  <conditionalFormatting sqref="X94 AC94">
    <cfRule type="expression" dxfId="243" priority="342">
      <formula>$AM$94=2</formula>
    </cfRule>
  </conditionalFormatting>
  <conditionalFormatting sqref="X94:X95 AC94:AC95">
    <cfRule type="cellIs" priority="339" stopIfTrue="1" operator="greaterThan">
      <formula>0</formula>
    </cfRule>
  </conditionalFormatting>
  <conditionalFormatting sqref="X95 AC95">
    <cfRule type="expression" dxfId="242" priority="340">
      <formula>$AM$95=2</formula>
    </cfRule>
  </conditionalFormatting>
  <conditionalFormatting sqref="X96 AC96">
    <cfRule type="cellIs" priority="337" stopIfTrue="1" operator="greaterThan">
      <formula>1</formula>
    </cfRule>
    <cfRule type="expression" dxfId="241" priority="338">
      <formula>$AM$96=2</formula>
    </cfRule>
  </conditionalFormatting>
  <conditionalFormatting sqref="X97 AC97">
    <cfRule type="expression" dxfId="240" priority="336">
      <formula>$AM$97=2</formula>
    </cfRule>
  </conditionalFormatting>
  <conditionalFormatting sqref="X97:X100 AC97:AC100">
    <cfRule type="cellIs" priority="325" stopIfTrue="1" operator="greaterThan">
      <formula>0</formula>
    </cfRule>
  </conditionalFormatting>
  <conditionalFormatting sqref="X98 AC98">
    <cfRule type="expression" dxfId="239" priority="334">
      <formula>$AM$98=2</formula>
    </cfRule>
  </conditionalFormatting>
  <conditionalFormatting sqref="X99 AC99">
    <cfRule type="expression" dxfId="238" priority="332">
      <formula>$AM$99=2</formula>
    </cfRule>
  </conditionalFormatting>
  <conditionalFormatting sqref="X100 AC100">
    <cfRule type="expression" dxfId="237" priority="330">
      <formula>$AM$100=2</formula>
    </cfRule>
  </conditionalFormatting>
  <conditionalFormatting sqref="X171">
    <cfRule type="expression" dxfId="236" priority="237">
      <formula>ISBLANK(X171)</formula>
    </cfRule>
  </conditionalFormatting>
  <conditionalFormatting sqref="Y21 AB21 AE21 AH21">
    <cfRule type="expression" dxfId="235" priority="203">
      <formula>$AL21=1</formula>
    </cfRule>
    <cfRule type="expression" priority="202" stopIfTrue="1">
      <formula>$AL21=2</formula>
    </cfRule>
  </conditionalFormatting>
  <conditionalFormatting sqref="Y58:Y59">
    <cfRule type="expression" dxfId="234" priority="299">
      <formula>$AM$58=3</formula>
    </cfRule>
  </conditionalFormatting>
  <conditionalFormatting sqref="Y61">
    <cfRule type="expression" dxfId="233" priority="232">
      <formula>$AM$58=3</formula>
    </cfRule>
  </conditionalFormatting>
  <conditionalFormatting sqref="Y108:Y113">
    <cfRule type="cellIs" dxfId="232" priority="47" operator="greaterThan">
      <formula>$AM$115</formula>
    </cfRule>
    <cfRule type="expression" dxfId="231" priority="46" stopIfTrue="1">
      <formula>ISBLANK(Y108)</formula>
    </cfRule>
  </conditionalFormatting>
  <conditionalFormatting sqref="Y58:Z59">
    <cfRule type="expression" dxfId="230" priority="252">
      <formula>$AL$56=1</formula>
    </cfRule>
  </conditionalFormatting>
  <conditionalFormatting sqref="Y61:Z61">
    <cfRule type="expression" dxfId="229" priority="231">
      <formula>$AL$56=1</formula>
    </cfRule>
  </conditionalFormatting>
  <conditionalFormatting sqref="AA12:AA13">
    <cfRule type="expression" dxfId="228" priority="425">
      <formula>ISBLANK(AA12)</formula>
    </cfRule>
  </conditionalFormatting>
  <conditionalFormatting sqref="AA15">
    <cfRule type="expression" dxfId="227" priority="91">
      <formula>$AM$14=3</formula>
    </cfRule>
  </conditionalFormatting>
  <conditionalFormatting sqref="AA94:AA100">
    <cfRule type="expression" dxfId="226" priority="220">
      <formula>$AM$58=3</formula>
    </cfRule>
  </conditionalFormatting>
  <conditionalFormatting sqref="AA15:AB15">
    <cfRule type="expression" dxfId="225" priority="90">
      <formula>$AL$12=1</formula>
    </cfRule>
  </conditionalFormatting>
  <conditionalFormatting sqref="AA94:AB100">
    <cfRule type="expression" dxfId="224" priority="219">
      <formula>$AL$56=1</formula>
    </cfRule>
  </conditionalFormatting>
  <conditionalFormatting sqref="AA12:AD13">
    <cfRule type="expression" dxfId="223" priority="78">
      <formula>$AM$14=1</formula>
    </cfRule>
    <cfRule type="expression" dxfId="222" priority="77">
      <formula>$AM$14=2</formula>
    </cfRule>
  </conditionalFormatting>
  <conditionalFormatting sqref="AB24:AB32">
    <cfRule type="cellIs" dxfId="221" priority="398" operator="greaterThan">
      <formula>0</formula>
    </cfRule>
    <cfRule type="expression" dxfId="220" priority="399">
      <formula>$AB$22=2</formula>
    </cfRule>
  </conditionalFormatting>
  <conditionalFormatting sqref="AB37:AB45">
    <cfRule type="cellIs" dxfId="219" priority="1119" operator="greaterThan">
      <formula>0</formula>
    </cfRule>
    <cfRule type="expression" dxfId="218" priority="1120">
      <formula>$AB$35=2</formula>
    </cfRule>
  </conditionalFormatting>
  <conditionalFormatting sqref="AC10">
    <cfRule type="expression" dxfId="217" priority="31">
      <formula>ISBLANK(AC10)</formula>
    </cfRule>
  </conditionalFormatting>
  <conditionalFormatting sqref="AC108:AC113">
    <cfRule type="cellIs" dxfId="216" priority="1278" operator="greaterThan">
      <formula>$AM$115</formula>
    </cfRule>
  </conditionalFormatting>
  <conditionalFormatting sqref="AD175">
    <cfRule type="expression" dxfId="215" priority="239">
      <formula>ISBLANK(AD175)</formula>
    </cfRule>
  </conditionalFormatting>
  <conditionalFormatting sqref="AD6:AJ6">
    <cfRule type="cellIs" dxfId="214" priority="40" operator="equal">
      <formula>0</formula>
    </cfRule>
  </conditionalFormatting>
  <conditionalFormatting sqref="AE12:AE13">
    <cfRule type="expression" dxfId="213" priority="87">
      <formula>$AM$14=3</formula>
    </cfRule>
  </conditionalFormatting>
  <conditionalFormatting sqref="AE69">
    <cfRule type="expression" dxfId="212" priority="207">
      <formula>$AL$69=2</formula>
    </cfRule>
    <cfRule type="cellIs" dxfId="211" priority="206" operator="greaterThan">
      <formula>0</formula>
    </cfRule>
  </conditionalFormatting>
  <conditionalFormatting sqref="AE12:AF13">
    <cfRule type="expression" dxfId="210" priority="86">
      <formula>$AL$12=1</formula>
    </cfRule>
  </conditionalFormatting>
  <conditionalFormatting sqref="AE15:AH15">
    <cfRule type="expression" priority="75" stopIfTrue="1">
      <formula>$AL$15=1</formula>
    </cfRule>
    <cfRule type="cellIs" dxfId="209" priority="76" operator="equal">
      <formula>0</formula>
    </cfRule>
  </conditionalFormatting>
  <conditionalFormatting sqref="AF59 AI59">
    <cfRule type="expression" dxfId="208" priority="1132">
      <formula>$AL$59=1</formula>
    </cfRule>
  </conditionalFormatting>
  <conditionalFormatting sqref="AF61 AI61">
    <cfRule type="expression" dxfId="207" priority="1134">
      <formula>$AM$59=1</formula>
    </cfRule>
  </conditionalFormatting>
  <conditionalFormatting sqref="AF63 AI63">
    <cfRule type="expression" dxfId="206" priority="1206">
      <formula>$AL$63=1</formula>
    </cfRule>
  </conditionalFormatting>
  <conditionalFormatting sqref="AF65 AI65">
    <cfRule type="expression" dxfId="205" priority="1355">
      <formula>$AM$65=1</formula>
    </cfRule>
  </conditionalFormatting>
  <conditionalFormatting sqref="AF67 AI67">
    <cfRule type="expression" dxfId="204" priority="1356">
      <formula>$AL$67=1</formula>
    </cfRule>
  </conditionalFormatting>
  <conditionalFormatting sqref="AF71 AI71">
    <cfRule type="expression" dxfId="203" priority="201">
      <formula>$AM$71=1</formula>
    </cfRule>
  </conditionalFormatting>
  <conditionalFormatting sqref="AF73 AI73">
    <cfRule type="expression" dxfId="202" priority="307">
      <formula>$AM$73=1</formula>
    </cfRule>
  </conditionalFormatting>
  <conditionalFormatting sqref="AF75 AI75">
    <cfRule type="expression" dxfId="201" priority="306">
      <formula>$AM$75=1</formula>
    </cfRule>
  </conditionalFormatting>
  <conditionalFormatting sqref="AF82 AI82">
    <cfRule type="expression" dxfId="200" priority="321">
      <formula>$AL$82=1</formula>
    </cfRule>
  </conditionalFormatting>
  <conditionalFormatting sqref="AF84">
    <cfRule type="expression" dxfId="199" priority="409">
      <formula>ISBLANK(AF84)</formula>
    </cfRule>
  </conditionalFormatting>
  <conditionalFormatting sqref="AF88">
    <cfRule type="expression" dxfId="198" priority="19">
      <formula>$AO88=1</formula>
    </cfRule>
  </conditionalFormatting>
  <conditionalFormatting sqref="AF27:AH32 AF40:AH45">
    <cfRule type="expression" dxfId="197" priority="253">
      <formula>ISBLANK(AF27)</formula>
    </cfRule>
  </conditionalFormatting>
  <conditionalFormatting sqref="AF28:AH32">
    <cfRule type="cellIs" dxfId="196" priority="248" operator="equal">
      <formula>0</formula>
    </cfRule>
  </conditionalFormatting>
  <conditionalFormatting sqref="AF41:AH45">
    <cfRule type="cellIs" dxfId="195" priority="247" operator="equal">
      <formula>0</formula>
    </cfRule>
  </conditionalFormatting>
  <conditionalFormatting sqref="AG94:AG100">
    <cfRule type="expression" dxfId="194" priority="226">
      <formula>$AM$58=3</formula>
    </cfRule>
  </conditionalFormatting>
  <conditionalFormatting sqref="AG108:AG113">
    <cfRule type="expression" dxfId="193" priority="130">
      <formula>ISBLANK(AG108)</formula>
    </cfRule>
    <cfRule type="expression" dxfId="192" priority="190">
      <formula>$AN108=1</formula>
    </cfRule>
  </conditionalFormatting>
  <conditionalFormatting sqref="AG94:AH100">
    <cfRule type="expression" dxfId="191" priority="225">
      <formula>$AL$56=1</formula>
    </cfRule>
  </conditionalFormatting>
  <conditionalFormatting sqref="AG108:AI113">
    <cfRule type="expression" dxfId="190" priority="1131">
      <formula>$AP108=1</formula>
    </cfRule>
    <cfRule type="expression" dxfId="189" priority="1130">
      <formula>$AO108=1</formula>
    </cfRule>
  </conditionalFormatting>
  <conditionalFormatting sqref="AI71">
    <cfRule type="expression" dxfId="188" priority="310">
      <formula>$AN$71=2</formula>
    </cfRule>
  </conditionalFormatting>
  <conditionalFormatting sqref="AI88 AF90 AI90">
    <cfRule type="expression" dxfId="187" priority="17">
      <formula>$AO88=1</formula>
    </cfRule>
  </conditionalFormatting>
  <conditionalFormatting sqref="AI88">
    <cfRule type="expression" dxfId="186" priority="20">
      <formula>$AP88=2</formula>
    </cfRule>
  </conditionalFormatting>
  <conditionalFormatting sqref="AI90">
    <cfRule type="expression" dxfId="185" priority="18">
      <formula>$AP90=2</formula>
    </cfRule>
  </conditionalFormatting>
  <dataValidations count="2">
    <dataValidation type="list" allowBlank="1" showInputMessage="1" showErrorMessage="1" sqref="F71:I71 F73:I73 F75:I80 P63:R63 F69:I69 O83:Q83" xr:uid="{63621920-5D12-4DF3-9DE5-C7A0F554523C}">
      <formula1>Shape</formula1>
    </dataValidation>
    <dataValidation type="list" allowBlank="1" showInputMessage="1" showErrorMessage="1" sqref="F63:I63 F83:I83" xr:uid="{D0D1DDA9-E312-4A42-A913-7BF4F8BCDBFA}">
      <formula1>Material</formula1>
    </dataValidation>
  </dataValidations>
  <pageMargins left="0.2" right="0.2" top="0.5" bottom="0.25" header="0.3" footer="0.3"/>
  <pageSetup orientation="portrait" r:id="rId1"/>
  <rowBreaks count="3" manualBreakCount="3">
    <brk id="53" max="16383" man="1"/>
    <brk id="103" max="16383" man="1"/>
    <brk id="156" max="16383" man="1"/>
  </rowBreaks>
  <colBreaks count="1" manualBreakCount="1">
    <brk id="46"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998F1E98-0479-4245-8F54-19F93D4CF78E}">
          <x14:formula1>
            <xm:f>Tables!$F$2:$F$7</xm:f>
          </x14:formula1>
          <xm:sqref>W102:Y103 W198:Y200 H198:H200 H53 H46:H50 W156:Y156 W53:Y53 W46:Y50 H156 H102:H103 F72:I72</xm:sqref>
        </x14:dataValidation>
        <x14:dataValidation type="list" allowBlank="1" showInputMessage="1" showErrorMessage="1" xr:uid="{C2C4810C-2651-4FCD-B8A4-95802102B039}">
          <x14:formula1>
            <xm:f>Tables!$H$2:$H$5</xm:f>
          </x14:formula1>
          <xm:sqref>C73</xm:sqref>
        </x14:dataValidation>
        <x14:dataValidation type="list" allowBlank="1" showInputMessage="1" showErrorMessage="1" xr:uid="{0A75D05C-E913-4A6F-B739-B4602DDB4488}">
          <x14:formula1>
            <xm:f>Tables!$H$2:$H$4</xm:f>
          </x14:formula1>
          <xm:sqref>C75:C80</xm:sqref>
        </x14:dataValidation>
        <x14:dataValidation type="list" allowBlank="1" showInputMessage="1" showErrorMessage="1" xr:uid="{D740FFD3-628B-4617-9F6C-ED0F2ABF4D3F}">
          <x14:formula1>
            <xm:f>Tables!$H$9:$H$14</xm:f>
          </x14:formula1>
          <xm:sqref>L88:T88</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55225008-6835-4D0F-9343-B8A6EC4E81A7}">
          <x14:formula1>
            <xm:f>Tables!$B$8</xm:f>
          </x14:formula1>
          <xm:sqref>AD6:AJ6 E7:X8 AE7:AJ8 G10 N10 U10 AC10 G12 J12 J14:M18 AA12:AD13 Y21 AB21 AE21 AH21 L23:N32 P23:R32 T23:V32 X23:Z32 AB23:AD32 AF24:AH24 AF27:AH32 L36:N45 P36:R45 T36:V45 X36:Z45 AB36:AD45 AF37:AH37 AF40:AH45 N56 S56 H57:J59 U57:X59 H61 L61 U61:X61 AF59 AI59 AI61 AF61 AF63 AI63 AF65 AI65 AI71 AF71 AF73 AI73 AI75 AF75 AE69:AG69 Z69:AB69 F64:I65 F67:I67 P65:R65 P67:R67 K69:M69 K71:M71 K73:M73 K75:M80 P75:R80 P73:R73 P71:R71 P69:R69 U69:W69 U71:W71 U73:W73 U75:W80 F84:I84 O84:Q84 W84:Y84 AF84:AH84 AF82 AI82 W86:Z86 O86:R86 F90:G90 L90:M90 R90:S90 AF88 AF90 AI88 AI90 F154 C94:E100 H94:J100 M94:P100 X94:Z100 S94:U101 AC94:AF101 I108:K113 M108:O113 Q108:S113 U108:W113 Y108:AA113 AC108:AE113 AG108:AI113 B115:AJ121 C124 F124 C126 F126 I128 L128 I130 L130 O132 O134 R134 R132 C142 F142 C144 F144 C146 F146 C150 F150 I148 L148 C152 F152 F168:Z170 F171:L171 P171:S171 X171:Z171 F172:Z172 F173:J173 AD175:AH175 I136 L136 O138 R138 C154</xm:sqref>
        </x14:dataValidation>
        <x14:dataValidation type="list" allowBlank="1" showInputMessage="1" showErrorMessage="1" xr:uid="{E2DAA2FB-2810-4FCF-B382-F6552133106B}">
          <x14:formula1>
            <xm:f>Tables!$K$27:$K$30</xm:f>
          </x14:formula1>
          <xm:sqref>R140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396C4-A65E-432E-BF87-68B5A022A214}">
  <sheetPr codeName="Sheet9">
    <tabColor theme="7" tint="0.39997558519241921"/>
  </sheetPr>
  <dimension ref="A1:CN113"/>
  <sheetViews>
    <sheetView showGridLines="0" showRowColHeaders="0" showZeros="0" zoomScale="150" zoomScaleNormal="150" workbookViewId="0">
      <selection activeCell="F10" sqref="F10"/>
    </sheetView>
  </sheetViews>
  <sheetFormatPr defaultColWidth="0" defaultRowHeight="0" customHeight="1" zeroHeight="1" x14ac:dyDescent="0.3"/>
  <cols>
    <col min="1" max="1" width="1.77734375" style="22" customWidth="1"/>
    <col min="2" max="36" width="2.77734375" style="22" customWidth="1"/>
    <col min="37" max="37" width="1.77734375" style="22" customWidth="1"/>
    <col min="38" max="38" width="2.77734375" style="22" customWidth="1"/>
    <col min="39" max="43" width="5.77734375" style="16" hidden="1" customWidth="1"/>
    <col min="44" max="79" width="2.77734375" style="22" customWidth="1"/>
    <col min="80" max="92" width="2.77734375" style="22" hidden="1" customWidth="1"/>
    <col min="93" max="16384" width="8.88671875" style="22" hidden="1"/>
  </cols>
  <sheetData>
    <row r="1" spans="2:88" ht="15" customHeight="1" x14ac:dyDescent="0.3">
      <c r="G1" s="3"/>
      <c r="H1" s="3"/>
      <c r="I1" s="3"/>
      <c r="J1" s="3"/>
      <c r="K1" s="3"/>
      <c r="L1" s="3"/>
      <c r="M1" s="3"/>
      <c r="N1" s="225" t="s">
        <v>357</v>
      </c>
      <c r="O1" s="225"/>
      <c r="P1" s="225"/>
      <c r="Q1" s="225"/>
      <c r="R1" s="225"/>
      <c r="S1" s="225"/>
      <c r="T1" s="225"/>
      <c r="U1" s="225"/>
      <c r="V1" s="225"/>
      <c r="W1" s="225"/>
      <c r="X1" s="225"/>
      <c r="Y1" s="225"/>
      <c r="Z1" s="225"/>
      <c r="AA1" s="225"/>
      <c r="AB1" s="225"/>
      <c r="AC1" s="225"/>
      <c r="AD1" s="225"/>
      <c r="AE1" s="225"/>
      <c r="AF1" s="225"/>
      <c r="AG1" s="225"/>
      <c r="AH1" s="225"/>
      <c r="AI1" s="225"/>
      <c r="AJ1" s="225"/>
      <c r="AK1" s="225"/>
      <c r="BD1" s="225" t="str">
        <f>N1</f>
        <v>Form 2B.2 - Retention Pond
Design Form Attachment</v>
      </c>
      <c r="BE1" s="225"/>
      <c r="BF1" s="225"/>
      <c r="BG1" s="225"/>
      <c r="BH1" s="225"/>
      <c r="BI1" s="225"/>
      <c r="BJ1" s="225"/>
      <c r="BK1" s="225"/>
      <c r="BL1" s="225"/>
      <c r="BM1" s="225"/>
      <c r="BN1" s="225"/>
      <c r="BO1" s="225"/>
      <c r="BP1" s="225"/>
      <c r="BQ1" s="225"/>
      <c r="BR1" s="225"/>
      <c r="BS1" s="225"/>
      <c r="BT1" s="225"/>
      <c r="BU1" s="225"/>
      <c r="BV1" s="225"/>
      <c r="BW1" s="225"/>
      <c r="BX1" s="225"/>
      <c r="BY1" s="225"/>
      <c r="BZ1" s="225"/>
    </row>
    <row r="2" spans="2:88" ht="15" customHeight="1" x14ac:dyDescent="0.3">
      <c r="E2" s="3"/>
      <c r="F2" s="3"/>
      <c r="G2" s="3"/>
      <c r="H2" s="3"/>
      <c r="I2" s="3"/>
      <c r="J2" s="3"/>
      <c r="K2" s="3"/>
      <c r="L2" s="3"/>
      <c r="M2" s="3"/>
      <c r="N2" s="225"/>
      <c r="O2" s="225"/>
      <c r="P2" s="225"/>
      <c r="Q2" s="225"/>
      <c r="R2" s="225"/>
      <c r="S2" s="225"/>
      <c r="T2" s="225"/>
      <c r="U2" s="225"/>
      <c r="V2" s="225"/>
      <c r="W2" s="225"/>
      <c r="X2" s="225"/>
      <c r="Y2" s="225"/>
      <c r="Z2" s="225"/>
      <c r="AA2" s="225"/>
      <c r="AB2" s="225"/>
      <c r="AC2" s="225"/>
      <c r="AD2" s="225"/>
      <c r="AE2" s="225"/>
      <c r="AF2" s="225"/>
      <c r="AG2" s="225"/>
      <c r="AH2" s="225"/>
      <c r="AI2" s="225"/>
      <c r="AJ2" s="225"/>
      <c r="AK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row>
    <row r="3" spans="2:88" ht="15" customHeight="1" x14ac:dyDescent="0.3">
      <c r="E3" s="3"/>
      <c r="F3" s="3"/>
      <c r="G3" s="3"/>
      <c r="H3" s="3"/>
      <c r="I3" s="3"/>
      <c r="J3" s="3"/>
      <c r="K3" s="3"/>
      <c r="L3" s="3"/>
      <c r="M3" s="3"/>
      <c r="N3" s="225"/>
      <c r="O3" s="225"/>
      <c r="P3" s="225"/>
      <c r="Q3" s="225"/>
      <c r="R3" s="225"/>
      <c r="S3" s="225"/>
      <c r="T3" s="225"/>
      <c r="U3" s="225"/>
      <c r="V3" s="225"/>
      <c r="W3" s="225"/>
      <c r="X3" s="225"/>
      <c r="Y3" s="225"/>
      <c r="Z3" s="225"/>
      <c r="AA3" s="225"/>
      <c r="AB3" s="225"/>
      <c r="AC3" s="225"/>
      <c r="AD3" s="225"/>
      <c r="AE3" s="225"/>
      <c r="AF3" s="225"/>
      <c r="AG3" s="225"/>
      <c r="AH3" s="225"/>
      <c r="AI3" s="225"/>
      <c r="AJ3" s="225"/>
      <c r="AK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row>
    <row r="4" spans="2:88" ht="15" customHeight="1" x14ac:dyDescent="0.3">
      <c r="E4" s="3"/>
      <c r="F4" s="3"/>
      <c r="G4" s="3"/>
      <c r="H4" s="3"/>
      <c r="I4" s="3"/>
      <c r="J4" s="3"/>
      <c r="K4" s="3"/>
      <c r="L4" s="3"/>
      <c r="M4" s="3"/>
      <c r="N4" s="225"/>
      <c r="O4" s="225"/>
      <c r="P4" s="225"/>
      <c r="Q4" s="225"/>
      <c r="R4" s="225"/>
      <c r="S4" s="225"/>
      <c r="T4" s="225"/>
      <c r="U4" s="225"/>
      <c r="V4" s="225"/>
      <c r="W4" s="225"/>
      <c r="X4" s="225"/>
      <c r="Y4" s="225"/>
      <c r="Z4" s="225"/>
      <c r="AA4" s="225"/>
      <c r="AB4" s="225"/>
      <c r="AC4" s="225"/>
      <c r="AD4" s="225"/>
      <c r="AE4" s="225"/>
      <c r="AF4" s="225"/>
      <c r="AG4" s="225"/>
      <c r="AH4" s="225"/>
      <c r="AI4" s="225"/>
      <c r="AJ4" s="225"/>
      <c r="AK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row>
    <row r="5" spans="2:88" ht="4.95" customHeight="1" x14ac:dyDescent="0.3">
      <c r="E5" s="3"/>
      <c r="F5" s="3"/>
      <c r="G5" s="3"/>
      <c r="H5" s="3"/>
      <c r="I5" s="3"/>
      <c r="J5" s="3"/>
      <c r="K5" s="3"/>
      <c r="L5" s="3"/>
      <c r="M5" s="3"/>
      <c r="N5" s="3"/>
      <c r="O5" s="3"/>
      <c r="P5" s="3"/>
      <c r="Q5" s="3"/>
      <c r="R5" s="3"/>
      <c r="S5" s="3"/>
      <c r="T5" s="3"/>
      <c r="U5" s="3"/>
      <c r="V5" s="3"/>
      <c r="W5" s="3"/>
      <c r="X5" s="3"/>
      <c r="Y5" s="3"/>
      <c r="Z5" s="3"/>
      <c r="AA5" s="3"/>
      <c r="AB5" s="19"/>
      <c r="AC5" s="19"/>
      <c r="AD5" s="19"/>
      <c r="AE5" s="19"/>
      <c r="AF5" s="19"/>
      <c r="AG5" s="19"/>
      <c r="AH5" s="19"/>
      <c r="AI5" s="19"/>
      <c r="AJ5" s="19"/>
    </row>
    <row r="6" spans="2:88" ht="15" customHeight="1" x14ac:dyDescent="0.3">
      <c r="B6" s="1" t="s">
        <v>192</v>
      </c>
      <c r="C6" s="1"/>
      <c r="D6" s="1"/>
      <c r="AR6" s="222" t="s">
        <v>64</v>
      </c>
      <c r="AS6" s="222"/>
      <c r="AT6" s="222"/>
      <c r="AU6" s="222"/>
      <c r="AV6" s="222"/>
      <c r="AW6" s="222"/>
      <c r="AX6" s="222"/>
      <c r="AY6" s="222"/>
      <c r="AZ6" s="222"/>
      <c r="BA6" s="222"/>
      <c r="BB6" s="222"/>
      <c r="BC6" s="222"/>
      <c r="BD6" s="222"/>
      <c r="BE6" s="222"/>
      <c r="BF6" s="222"/>
      <c r="CJ6" s="108"/>
    </row>
    <row r="7" spans="2:88" ht="15" customHeight="1" x14ac:dyDescent="0.3">
      <c r="D7" s="2" t="s">
        <v>129</v>
      </c>
      <c r="E7" s="235">
        <f>'Form 2B.1 - Design'!E7</f>
        <v>0</v>
      </c>
      <c r="F7" s="235"/>
      <c r="G7" s="235"/>
      <c r="H7" s="235"/>
      <c r="I7" s="235"/>
      <c r="J7" s="235"/>
      <c r="K7" s="235"/>
      <c r="L7" s="235"/>
      <c r="M7" s="235"/>
      <c r="N7" s="235"/>
      <c r="O7" s="235"/>
      <c r="P7" s="235"/>
      <c r="Q7" s="235"/>
      <c r="R7" s="235"/>
      <c r="S7" s="235"/>
      <c r="T7" s="235"/>
      <c r="U7" s="235"/>
      <c r="V7" s="235"/>
      <c r="W7" s="235"/>
      <c r="X7" s="235"/>
      <c r="Y7" s="235"/>
      <c r="AD7" s="2" t="s">
        <v>193</v>
      </c>
      <c r="AE7" s="236">
        <f>'Form 2B.1 - Design'!AE7</f>
        <v>0</v>
      </c>
      <c r="AF7" s="236"/>
      <c r="AG7" s="236"/>
      <c r="AH7" s="236"/>
      <c r="AI7" s="236"/>
      <c r="AJ7" s="236"/>
      <c r="AR7" s="222"/>
      <c r="AS7" s="222"/>
      <c r="AT7" s="222"/>
      <c r="AU7" s="222"/>
      <c r="AV7" s="222"/>
      <c r="AW7" s="222"/>
      <c r="AX7" s="222"/>
      <c r="AY7" s="222"/>
      <c r="AZ7" s="222"/>
      <c r="BA7" s="222"/>
      <c r="BB7" s="222"/>
      <c r="BC7" s="222"/>
      <c r="BD7" s="222"/>
      <c r="BE7" s="222"/>
      <c r="BF7" s="222"/>
      <c r="BG7" s="17"/>
      <c r="BH7" s="17"/>
      <c r="BI7" s="17"/>
      <c r="BJ7" s="17"/>
      <c r="BK7" s="17"/>
      <c r="BL7" s="17"/>
      <c r="BM7" s="17"/>
      <c r="BN7" s="17"/>
      <c r="BO7" s="17"/>
      <c r="BP7" s="17"/>
      <c r="BQ7" s="17"/>
      <c r="BR7" s="17"/>
      <c r="BS7" s="17"/>
      <c r="BT7" s="17"/>
      <c r="BU7" s="20"/>
      <c r="BV7" s="20"/>
      <c r="BW7" s="20"/>
      <c r="BX7" s="20"/>
      <c r="BY7" s="20"/>
      <c r="BZ7" s="20"/>
      <c r="CA7" s="20"/>
      <c r="CB7" s="20"/>
      <c r="CC7" s="20"/>
      <c r="CD7" s="20"/>
      <c r="CE7" s="20"/>
      <c r="CF7" s="20"/>
      <c r="CG7" s="20"/>
      <c r="CH7" s="20"/>
      <c r="CI7" s="20"/>
      <c r="CJ7" s="109"/>
    </row>
    <row r="8" spans="2:88" ht="15" customHeight="1" x14ac:dyDescent="0.3">
      <c r="D8" s="2" t="s">
        <v>130</v>
      </c>
      <c r="E8" s="237">
        <f>'Form 2B.1 - Design'!E8</f>
        <v>0</v>
      </c>
      <c r="F8" s="237"/>
      <c r="G8" s="237"/>
      <c r="H8" s="237"/>
      <c r="I8" s="237"/>
      <c r="J8" s="237"/>
      <c r="K8" s="237"/>
      <c r="L8" s="237"/>
      <c r="M8" s="237"/>
      <c r="N8" s="237"/>
      <c r="O8" s="237"/>
      <c r="P8" s="237"/>
      <c r="Q8" s="237"/>
      <c r="R8" s="237"/>
      <c r="S8" s="237"/>
      <c r="T8" s="237"/>
      <c r="U8" s="237"/>
      <c r="V8" s="237"/>
      <c r="W8" s="237"/>
      <c r="X8" s="237"/>
      <c r="Y8" s="237"/>
      <c r="AB8" s="2"/>
      <c r="AR8" s="17">
        <v>1</v>
      </c>
      <c r="AS8" s="86" t="s">
        <v>337</v>
      </c>
      <c r="AT8" s="87"/>
      <c r="AU8" s="1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108"/>
      <c r="BV8" s="108"/>
      <c r="BW8" s="108"/>
      <c r="BX8" s="108"/>
      <c r="BY8" s="108"/>
      <c r="BZ8" s="108"/>
      <c r="CA8" s="108"/>
      <c r="CB8" s="108"/>
      <c r="CC8" s="108"/>
      <c r="CD8" s="108"/>
      <c r="CE8" s="108"/>
      <c r="CF8" s="108"/>
      <c r="CG8" s="108"/>
      <c r="CH8" s="108"/>
      <c r="CI8" s="108"/>
      <c r="CJ8" s="20"/>
    </row>
    <row r="9" spans="2:88" ht="15" customHeight="1" x14ac:dyDescent="0.3">
      <c r="S9" s="2" t="s">
        <v>195</v>
      </c>
      <c r="T9" s="238">
        <f>'Form 2B.1 - Design'!O86</f>
        <v>0</v>
      </c>
      <c r="U9" s="238"/>
      <c r="V9" s="238"/>
      <c r="W9" s="238"/>
      <c r="X9" s="238"/>
      <c r="Y9" s="238"/>
      <c r="AA9" s="13"/>
      <c r="AC9" s="13"/>
      <c r="AR9" s="87"/>
      <c r="AS9" s="17" t="s">
        <v>90</v>
      </c>
      <c r="AT9" s="59" t="s">
        <v>338</v>
      </c>
      <c r="AU9" s="1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108"/>
      <c r="BV9" s="108"/>
      <c r="BW9" s="108"/>
      <c r="BX9" s="108"/>
      <c r="BY9" s="108"/>
      <c r="BZ9" s="108"/>
      <c r="CA9" s="108"/>
      <c r="CB9" s="108"/>
      <c r="CC9" s="108"/>
      <c r="CD9" s="108"/>
      <c r="CE9" s="108"/>
      <c r="CF9" s="108"/>
      <c r="CG9" s="108"/>
      <c r="CH9" s="108"/>
      <c r="CI9" s="108"/>
    </row>
    <row r="10" spans="2:88" ht="15" customHeight="1" x14ac:dyDescent="0.3">
      <c r="E10" s="2" t="s">
        <v>162</v>
      </c>
      <c r="F10" s="51"/>
      <c r="G10" s="13" t="s">
        <v>349</v>
      </c>
      <c r="H10" s="111"/>
      <c r="I10" s="51"/>
      <c r="J10" s="13" t="s">
        <v>350</v>
      </c>
      <c r="S10" s="2" t="s">
        <v>196</v>
      </c>
      <c r="T10" s="234">
        <f>'Form 2B.1 - Design'!W86</f>
        <v>0</v>
      </c>
      <c r="U10" s="234"/>
      <c r="V10" s="234"/>
      <c r="W10" s="234"/>
      <c r="X10" s="234"/>
      <c r="Y10" s="234"/>
      <c r="AA10" s="13"/>
      <c r="AB10" s="13"/>
      <c r="AC10" s="13"/>
      <c r="AD10" s="2" t="s">
        <v>194</v>
      </c>
      <c r="AE10" s="239">
        <f>'Form 2B.1 - Design'!AE8</f>
        <v>0</v>
      </c>
      <c r="AF10" s="239"/>
      <c r="AG10" s="239"/>
      <c r="AH10" s="239"/>
      <c r="AI10" s="239"/>
      <c r="AJ10" s="239"/>
      <c r="AM10" s="91">
        <f>IF(AND(ISBLANK(F10),ISBLANK(I10)),0,1)</f>
        <v>0</v>
      </c>
      <c r="AN10" s="91">
        <f>IF(ISBLANK(F10),0,1)</f>
        <v>0</v>
      </c>
      <c r="AO10" s="91">
        <f>IF(ISBLANK(I10),0,2)</f>
        <v>0</v>
      </c>
      <c r="AP10" s="91">
        <f>IF(ISBLANK(F10),1,IF(ISBLANK(I10),2,3))</f>
        <v>1</v>
      </c>
      <c r="AQ10" s="91">
        <f>SUM(AN10:AO10)</f>
        <v>0</v>
      </c>
      <c r="AS10" s="4" t="s">
        <v>91</v>
      </c>
      <c r="AT10" s="59" t="s">
        <v>339</v>
      </c>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20"/>
      <c r="BV10" s="20"/>
      <c r="BW10" s="20"/>
      <c r="BX10" s="20"/>
      <c r="BY10" s="20"/>
      <c r="BZ10" s="20"/>
      <c r="CA10" s="20"/>
      <c r="CB10" s="20"/>
      <c r="CC10" s="20"/>
      <c r="CD10" s="20"/>
      <c r="CE10" s="20"/>
      <c r="CF10" s="20"/>
      <c r="CG10" s="20"/>
      <c r="CH10" s="20"/>
      <c r="CI10" s="20"/>
      <c r="CJ10" s="20"/>
    </row>
    <row r="11" spans="2:88" ht="15" customHeight="1" x14ac:dyDescent="0.3">
      <c r="AR11" s="17"/>
      <c r="AS11" s="4" t="s">
        <v>103</v>
      </c>
      <c r="AT11" s="22" t="s">
        <v>340</v>
      </c>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20"/>
      <c r="BV11" s="20"/>
      <c r="BW11" s="20"/>
      <c r="BX11" s="20"/>
      <c r="BY11" s="20"/>
      <c r="BZ11" s="20"/>
      <c r="CA11" s="20"/>
      <c r="CB11" s="20"/>
      <c r="CC11" s="20"/>
      <c r="CD11" s="20"/>
      <c r="CE11" s="20"/>
      <c r="CF11" s="20"/>
      <c r="CG11" s="20"/>
      <c r="CH11" s="20"/>
      <c r="CI11" s="20"/>
      <c r="CJ11" s="20"/>
    </row>
    <row r="12" spans="2:88" ht="15" customHeight="1" x14ac:dyDescent="0.3">
      <c r="C12" s="2"/>
      <c r="E12" s="2" t="s">
        <v>206</v>
      </c>
      <c r="F12" s="51"/>
      <c r="G12" s="22" t="s">
        <v>341</v>
      </c>
      <c r="M12" s="110"/>
      <c r="U12" s="2" t="s">
        <v>342</v>
      </c>
      <c r="V12" s="51"/>
      <c r="W12" s="13" t="s">
        <v>343</v>
      </c>
      <c r="AG12" s="2" t="s">
        <v>344</v>
      </c>
      <c r="AH12" s="217"/>
      <c r="AI12" s="217"/>
      <c r="AM12" s="91">
        <f>IF(AND(ISBLANK(V12),ISBLANK(V14)),0,1)</f>
        <v>0</v>
      </c>
      <c r="AN12" s="91">
        <f>IF(ISBLANK(V12),0,1)</f>
        <v>0</v>
      </c>
      <c r="AO12" s="91">
        <f>IF(ISBLANK(V14),0,1)</f>
        <v>0</v>
      </c>
      <c r="AP12" s="91">
        <f>IF(ISBLANK(V12),1,IF(ISBLANK(V14),2,3))</f>
        <v>1</v>
      </c>
      <c r="AR12" s="17"/>
      <c r="AS12" s="4" t="s">
        <v>104</v>
      </c>
      <c r="AT12" s="22" t="s">
        <v>360</v>
      </c>
    </row>
    <row r="13" spans="2:88" ht="4.95" customHeight="1" x14ac:dyDescent="0.3">
      <c r="C13" s="2"/>
      <c r="D13" s="2"/>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20"/>
      <c r="BV13" s="20"/>
      <c r="BW13" s="20"/>
      <c r="BX13" s="20"/>
      <c r="BY13" s="20"/>
      <c r="BZ13" s="20"/>
      <c r="CA13" s="20"/>
      <c r="CB13" s="20"/>
      <c r="CC13" s="20"/>
      <c r="CD13" s="20"/>
      <c r="CE13" s="20"/>
      <c r="CF13" s="20"/>
      <c r="CG13" s="20"/>
      <c r="CH13" s="20"/>
      <c r="CI13" s="20"/>
      <c r="CJ13" s="20"/>
    </row>
    <row r="14" spans="2:88" ht="15" customHeight="1" x14ac:dyDescent="0.3">
      <c r="F14" s="51"/>
      <c r="G14" s="22" t="s">
        <v>345</v>
      </c>
      <c r="V14" s="51"/>
      <c r="W14" s="13" t="s">
        <v>346</v>
      </c>
      <c r="AG14" s="2" t="s">
        <v>347</v>
      </c>
      <c r="AH14" s="217"/>
      <c r="AI14" s="217"/>
      <c r="AM14" s="91">
        <f>IF(ISBLANK(V12),0,1)</f>
        <v>0</v>
      </c>
      <c r="AN14" s="91">
        <f>IF(ISBLANK(V14),0,2)</f>
        <v>0</v>
      </c>
      <c r="AO14" s="91">
        <f>SUM(AM14:AN14)</f>
        <v>0</v>
      </c>
      <c r="AR14" s="120" t="s">
        <v>392</v>
      </c>
      <c r="AS14" s="59" t="s">
        <v>393</v>
      </c>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20"/>
      <c r="BV14" s="20"/>
      <c r="BW14" s="20"/>
      <c r="BX14" s="20"/>
      <c r="BY14" s="20"/>
      <c r="BZ14" s="20"/>
      <c r="CA14" s="20"/>
      <c r="CB14" s="20"/>
      <c r="CC14" s="20"/>
      <c r="CD14" s="20"/>
      <c r="CE14" s="20"/>
      <c r="CF14" s="20"/>
      <c r="CG14" s="20"/>
      <c r="CH14" s="20"/>
      <c r="CI14" s="20"/>
      <c r="CJ14" s="20"/>
    </row>
    <row r="15" spans="2:88" ht="15" customHeight="1" x14ac:dyDescent="0.3">
      <c r="AE15" s="2"/>
      <c r="AF15" s="2"/>
      <c r="AG15" s="2"/>
      <c r="AH15" s="2"/>
      <c r="AI15" s="2"/>
      <c r="AK15" s="2"/>
      <c r="AL15" s="2"/>
      <c r="AR15" s="120">
        <v>3</v>
      </c>
      <c r="AS15" s="22" t="s">
        <v>431</v>
      </c>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20"/>
      <c r="BV15" s="20"/>
      <c r="BW15" s="20"/>
      <c r="BX15" s="20"/>
      <c r="BY15" s="20"/>
      <c r="BZ15" s="20"/>
      <c r="CA15" s="20"/>
      <c r="CB15" s="20"/>
      <c r="CC15" s="20"/>
      <c r="CD15" s="20"/>
      <c r="CE15" s="20"/>
      <c r="CF15" s="20"/>
      <c r="CG15" s="20"/>
      <c r="CH15" s="20"/>
      <c r="CI15" s="20"/>
      <c r="CJ15" s="20"/>
    </row>
    <row r="16" spans="2:88" ht="15" customHeight="1" x14ac:dyDescent="0.3">
      <c r="B16" s="51"/>
      <c r="C16" s="22" t="s">
        <v>119</v>
      </c>
      <c r="E16" s="51"/>
      <c r="F16" s="22" t="s">
        <v>118</v>
      </c>
      <c r="G16" s="2"/>
      <c r="H16" s="22" t="s">
        <v>373</v>
      </c>
      <c r="AE16" s="2"/>
      <c r="AK16" s="2"/>
      <c r="AL16" s="2"/>
      <c r="AM16" s="91">
        <f>IF(AND(ISBLANK(B16),ISBLANK(E16)),1,2)</f>
        <v>1</v>
      </c>
      <c r="AN16" s="91">
        <f>IF(ISBLANK(B16),1,2)</f>
        <v>1</v>
      </c>
      <c r="AO16" s="91">
        <f>IF(ISBLANK(B16),0,2)</f>
        <v>0</v>
      </c>
      <c r="AP16" s="91">
        <f>IF(ISBLANK(B16),1,IF(ISBLANK(E16),2,3))</f>
        <v>1</v>
      </c>
      <c r="AS16" s="4" t="s">
        <v>90</v>
      </c>
      <c r="AT16" s="22" t="s">
        <v>432</v>
      </c>
      <c r="AU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20"/>
      <c r="BV16" s="20"/>
      <c r="BW16" s="20"/>
      <c r="BX16" s="20"/>
      <c r="BY16" s="20"/>
      <c r="BZ16" s="20"/>
      <c r="CA16" s="20"/>
      <c r="CB16" s="20"/>
      <c r="CC16" s="20"/>
      <c r="CD16" s="20"/>
      <c r="CE16" s="20"/>
      <c r="CF16" s="20"/>
      <c r="CG16" s="20"/>
      <c r="CH16" s="20"/>
      <c r="CI16" s="20"/>
      <c r="CJ16" s="20"/>
    </row>
    <row r="17" spans="2:88" ht="4.95" customHeight="1" x14ac:dyDescent="0.3">
      <c r="B17" s="2"/>
      <c r="C17" s="2"/>
      <c r="D17" s="2"/>
      <c r="E17" s="2"/>
      <c r="F17" s="2"/>
      <c r="G17" s="2"/>
      <c r="AE17" s="2"/>
      <c r="AF17" s="2"/>
      <c r="AG17" s="2"/>
      <c r="AH17" s="2"/>
      <c r="AI17" s="2"/>
      <c r="AJ17" s="2"/>
      <c r="AK17" s="2"/>
      <c r="AL17" s="2"/>
      <c r="AR17" s="17"/>
      <c r="AU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20"/>
      <c r="BV17" s="20"/>
      <c r="BW17" s="20"/>
      <c r="BX17" s="20"/>
      <c r="BY17" s="20"/>
      <c r="BZ17" s="20"/>
      <c r="CA17" s="20"/>
      <c r="CB17" s="20"/>
      <c r="CC17" s="20"/>
      <c r="CD17" s="20"/>
      <c r="CE17" s="20"/>
      <c r="CF17" s="20"/>
      <c r="CG17" s="20"/>
      <c r="CH17" s="20"/>
      <c r="CI17" s="20"/>
      <c r="CJ17" s="20"/>
    </row>
    <row r="18" spans="2:88" ht="15" customHeight="1" x14ac:dyDescent="0.3">
      <c r="B18" s="51"/>
      <c r="C18" s="22" t="s">
        <v>119</v>
      </c>
      <c r="E18" s="51"/>
      <c r="F18" s="22" t="s">
        <v>118</v>
      </c>
      <c r="G18" s="2"/>
      <c r="H18" s="22" t="s">
        <v>348</v>
      </c>
      <c r="AK18" s="2"/>
      <c r="AL18" s="2"/>
      <c r="AM18" s="91">
        <f>IF(AND(ISBLANK(B18),ISBLANK(E18)),1,2)</f>
        <v>1</v>
      </c>
      <c r="AN18" s="91">
        <f>IF(ISBLANK(B18),1,2)</f>
        <v>1</v>
      </c>
      <c r="AO18" s="91">
        <f>IF(ISBLANK(B18),0,2)</f>
        <v>0</v>
      </c>
      <c r="AP18" s="91">
        <f>IF(ISBLANK(B18),1,IF(ISBLANK(E18),2,3))</f>
        <v>1</v>
      </c>
      <c r="AR18" s="17"/>
      <c r="AS18" s="4" t="s">
        <v>91</v>
      </c>
      <c r="AT18" s="59" t="s">
        <v>433</v>
      </c>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20"/>
      <c r="BV18" s="20"/>
      <c r="BW18" s="20"/>
      <c r="BX18" s="20"/>
      <c r="BY18" s="20"/>
      <c r="BZ18" s="20"/>
      <c r="CA18" s="20"/>
      <c r="CB18" s="20"/>
      <c r="CC18" s="20"/>
      <c r="CD18" s="20"/>
      <c r="CE18" s="20"/>
      <c r="CF18" s="20"/>
      <c r="CG18" s="20"/>
      <c r="CH18" s="20"/>
      <c r="CI18" s="20"/>
      <c r="CJ18" s="20"/>
    </row>
    <row r="19" spans="2:88" ht="4.95" customHeight="1" x14ac:dyDescent="0.3">
      <c r="B19" s="2"/>
      <c r="C19" s="2"/>
      <c r="D19" s="2"/>
      <c r="E19" s="2"/>
      <c r="F19" s="2"/>
      <c r="G19" s="2"/>
      <c r="AE19" s="2"/>
      <c r="AF19" s="2"/>
      <c r="AG19" s="2"/>
      <c r="AH19" s="2"/>
      <c r="AI19" s="2"/>
      <c r="AJ19" s="2"/>
      <c r="AK19" s="2"/>
      <c r="AL19" s="2"/>
      <c r="AR19" s="17"/>
      <c r="AS19" s="17"/>
      <c r="AT19" s="59"/>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20"/>
      <c r="BV19" s="20"/>
      <c r="BW19" s="20"/>
      <c r="BX19" s="20"/>
      <c r="BY19" s="20"/>
      <c r="BZ19" s="20"/>
      <c r="CA19" s="20"/>
      <c r="CB19" s="20"/>
      <c r="CC19" s="20"/>
      <c r="CD19" s="20"/>
      <c r="CE19" s="20"/>
      <c r="CF19" s="20"/>
      <c r="CG19" s="20"/>
      <c r="CH19" s="20"/>
      <c r="CI19" s="20"/>
      <c r="CJ19" s="20"/>
    </row>
    <row r="20" spans="2:88" ht="15" customHeight="1" x14ac:dyDescent="0.3">
      <c r="B20" s="51"/>
      <c r="C20" s="22" t="s">
        <v>119</v>
      </c>
      <c r="E20" s="51"/>
      <c r="F20" s="22" t="s">
        <v>118</v>
      </c>
      <c r="G20" s="2"/>
      <c r="H20" s="22" t="s">
        <v>368</v>
      </c>
      <c r="AJ20" s="2"/>
      <c r="AK20" s="2"/>
      <c r="AL20" s="2"/>
      <c r="AM20" s="91">
        <f>IF(AND(ISBLANK(B20),ISBLANK(E20)),1,2)</f>
        <v>1</v>
      </c>
      <c r="AN20" s="91">
        <f>IF(ISBLANK(B20),1,2)</f>
        <v>1</v>
      </c>
      <c r="AO20" s="91">
        <f>IF(ISBLANK(B20),0,2)</f>
        <v>0</v>
      </c>
      <c r="AP20" s="91">
        <f>IF(ISBLANK(B20),1,IF(ISBLANK(E20),2,3))</f>
        <v>1</v>
      </c>
      <c r="AS20" s="17" t="s">
        <v>103</v>
      </c>
      <c r="AT20" s="22" t="s">
        <v>297</v>
      </c>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20"/>
      <c r="BV20" s="20"/>
      <c r="BW20" s="20"/>
      <c r="BX20" s="20"/>
      <c r="BY20" s="20"/>
      <c r="BZ20" s="20"/>
      <c r="CA20" s="20"/>
      <c r="CB20" s="20"/>
      <c r="CC20" s="20"/>
      <c r="CD20" s="20"/>
      <c r="CE20" s="20"/>
      <c r="CF20" s="20"/>
      <c r="CG20" s="20"/>
      <c r="CH20" s="20"/>
      <c r="CI20" s="20"/>
      <c r="CJ20" s="20"/>
    </row>
    <row r="21" spans="2:88" ht="15" customHeight="1" x14ac:dyDescent="0.3">
      <c r="B21" s="2"/>
      <c r="C21" s="2"/>
      <c r="D21" s="2"/>
      <c r="E21" s="2"/>
      <c r="F21" s="2"/>
      <c r="G21" s="2"/>
      <c r="AE21" s="2"/>
      <c r="AF21" s="2"/>
      <c r="AG21" s="2"/>
      <c r="AJ21" s="2"/>
      <c r="AK21" s="2"/>
      <c r="AL21" s="2"/>
      <c r="AR21" s="20"/>
      <c r="AS21" s="17" t="s">
        <v>104</v>
      </c>
      <c r="AT21" s="59" t="s">
        <v>434</v>
      </c>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20"/>
      <c r="BV21" s="20"/>
      <c r="BW21" s="20"/>
      <c r="BX21" s="20"/>
      <c r="BY21" s="20"/>
      <c r="BZ21" s="20"/>
      <c r="CA21" s="20"/>
      <c r="CB21" s="20"/>
      <c r="CC21" s="20"/>
      <c r="CD21" s="20"/>
      <c r="CE21" s="20"/>
      <c r="CF21" s="20"/>
      <c r="CG21" s="20"/>
      <c r="CH21" s="20"/>
      <c r="CI21" s="20"/>
      <c r="CJ21" s="20"/>
    </row>
    <row r="22" spans="2:88" ht="15" customHeight="1" x14ac:dyDescent="0.3">
      <c r="B22" s="2"/>
      <c r="C22" s="2"/>
      <c r="D22" s="2"/>
      <c r="E22" s="2"/>
      <c r="F22" s="2"/>
      <c r="G22" s="2"/>
      <c r="K22" s="189" t="str">
        <f>IF($AO$14=1,"Phase",IF($AO$14=2,"Lot","Type?"))</f>
        <v>Type?</v>
      </c>
      <c r="L22" s="189"/>
      <c r="M22" s="189"/>
      <c r="R22" s="22" t="s">
        <v>390</v>
      </c>
      <c r="Y22" s="189" t="s">
        <v>391</v>
      </c>
      <c r="Z22" s="189"/>
      <c r="AA22" s="189"/>
      <c r="AE22" s="2"/>
      <c r="AF22" s="2"/>
      <c r="AG22" s="2"/>
      <c r="AJ22" s="2"/>
      <c r="AK22" s="2"/>
      <c r="AL22" s="2"/>
      <c r="AR22" s="20"/>
      <c r="AS22" s="17" t="s">
        <v>102</v>
      </c>
      <c r="AT22" s="59" t="s">
        <v>435</v>
      </c>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20"/>
      <c r="BV22" s="20"/>
      <c r="BW22" s="20"/>
      <c r="BX22" s="20"/>
      <c r="BY22" s="20"/>
      <c r="BZ22" s="20"/>
      <c r="CA22" s="20"/>
      <c r="CB22" s="20"/>
      <c r="CC22" s="20"/>
      <c r="CD22" s="20"/>
      <c r="CE22" s="20"/>
      <c r="CF22" s="20"/>
      <c r="CG22" s="20"/>
      <c r="CH22" s="20"/>
      <c r="CI22" s="20"/>
      <c r="CJ22" s="20"/>
    </row>
    <row r="23" spans="2:88" ht="15" customHeight="1" x14ac:dyDescent="0.3">
      <c r="B23" s="189" t="s">
        <v>529</v>
      </c>
      <c r="C23" s="189"/>
      <c r="D23" s="189"/>
      <c r="F23" s="189" t="str">
        <f>IF($AO$14=1,"No. Lots",IF($AO$14=2,"Lot ID","Type?"))</f>
        <v>Type?</v>
      </c>
      <c r="G23" s="189"/>
      <c r="H23" s="189"/>
      <c r="K23" s="189" t="s">
        <v>16</v>
      </c>
      <c r="L23" s="189"/>
      <c r="M23" s="189"/>
      <c r="R23" s="189" t="s">
        <v>351</v>
      </c>
      <c r="S23" s="189"/>
      <c r="T23" s="189"/>
      <c r="Y23" s="189" t="s">
        <v>351</v>
      </c>
      <c r="Z23" s="189"/>
      <c r="AA23" s="189"/>
      <c r="AD23" s="22" t="s">
        <v>352</v>
      </c>
      <c r="AR23" s="20"/>
      <c r="AS23" s="17" t="s">
        <v>105</v>
      </c>
      <c r="AT23" s="59" t="s">
        <v>436</v>
      </c>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20"/>
      <c r="BV23" s="20"/>
      <c r="BW23" s="20"/>
      <c r="BX23" s="20"/>
      <c r="BY23" s="20"/>
      <c r="BZ23" s="20"/>
      <c r="CA23" s="20"/>
      <c r="CB23" s="20"/>
      <c r="CC23" s="20"/>
      <c r="CD23" s="20"/>
      <c r="CE23" s="20"/>
      <c r="CF23" s="20"/>
      <c r="CG23" s="20"/>
      <c r="CH23" s="20"/>
      <c r="CI23" s="20"/>
      <c r="CJ23" s="20"/>
    </row>
    <row r="24" spans="2:88" ht="15" customHeight="1" x14ac:dyDescent="0.3">
      <c r="B24" s="230"/>
      <c r="C24" s="230"/>
      <c r="D24" s="230"/>
      <c r="F24" s="230"/>
      <c r="G24" s="230"/>
      <c r="H24" s="230"/>
      <c r="K24" s="231"/>
      <c r="L24" s="231"/>
      <c r="M24" s="231"/>
      <c r="N24" s="185" t="str">
        <f>IF($AQ$10=0,"Units?",IF($AQ$10=1,"ac",IF($AQ$10=2,"sq-ft","Error")))</f>
        <v>Units?</v>
      </c>
      <c r="O24" s="185"/>
      <c r="R24" s="231"/>
      <c r="S24" s="231"/>
      <c r="T24" s="231"/>
      <c r="U24" s="185" t="str">
        <f>IF($AQ$10=0,"Units?",IF($AQ$10=1,"ac",IF($AQ$10=2,"sq-ft","Error")))</f>
        <v>Units?</v>
      </c>
      <c r="V24" s="185"/>
      <c r="Y24" s="231"/>
      <c r="Z24" s="231"/>
      <c r="AA24" s="231"/>
      <c r="AB24" s="185" t="str">
        <f>IF($AQ$10=0,"Units?",IF($AQ$10=1,"ac",IF($AQ$10=2,"sq-ft","Error")))</f>
        <v>Units?</v>
      </c>
      <c r="AC24" s="185"/>
      <c r="AE24" s="51"/>
      <c r="AF24" s="22" t="s">
        <v>118</v>
      </c>
      <c r="AH24" s="51"/>
      <c r="AI24" s="22" t="s">
        <v>119</v>
      </c>
      <c r="AM24" s="91">
        <f>IF(ISBLANK(B24),1,2)</f>
        <v>1</v>
      </c>
      <c r="AN24" s="91">
        <f>IF(AND(ISBLANK(AE24),ISBLANK(AH24)),0,1)</f>
        <v>0</v>
      </c>
      <c r="AO24" s="91">
        <f>IF(AND(ISBLANK(AE24),LEN(AH24)&gt;0),2,1)</f>
        <v>1</v>
      </c>
      <c r="AP24" s="91">
        <f>IF(ISBLANK(AE24),1,IF(ISBLANK(AH24),2,3))</f>
        <v>1</v>
      </c>
      <c r="AR24" s="120">
        <v>4</v>
      </c>
      <c r="AS24" s="59" t="s">
        <v>484</v>
      </c>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20"/>
      <c r="BV24" s="20"/>
      <c r="BW24" s="20"/>
      <c r="BX24" s="20"/>
      <c r="BY24" s="20"/>
      <c r="BZ24" s="20"/>
      <c r="CA24" s="20"/>
      <c r="CB24" s="20"/>
      <c r="CC24" s="20"/>
      <c r="CD24" s="20"/>
      <c r="CE24" s="20"/>
      <c r="CF24" s="20"/>
      <c r="CG24" s="20"/>
      <c r="CH24" s="20"/>
      <c r="CI24" s="20"/>
      <c r="CJ24" s="20"/>
    </row>
    <row r="25" spans="2:88" ht="4.95" customHeight="1" x14ac:dyDescent="0.3">
      <c r="C25" s="4"/>
      <c r="F25" s="36"/>
      <c r="G25" s="36"/>
      <c r="K25" s="112"/>
      <c r="L25" s="112"/>
      <c r="M25" s="112"/>
      <c r="N25" s="13"/>
      <c r="O25" s="13"/>
      <c r="R25" s="112"/>
      <c r="S25" s="112"/>
      <c r="T25" s="112"/>
      <c r="U25" s="13"/>
      <c r="V25" s="13"/>
      <c r="Y25" s="112"/>
      <c r="Z25" s="112"/>
      <c r="AA25" s="112"/>
      <c r="AE25" s="113"/>
      <c r="AH25" s="113"/>
      <c r="AM25" s="16">
        <f t="shared" ref="AM25:AM51" si="0">B25</f>
        <v>0</v>
      </c>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20"/>
      <c r="BV25" s="20"/>
      <c r="BW25" s="20"/>
      <c r="BX25" s="20"/>
      <c r="BY25" s="20"/>
      <c r="BZ25" s="20"/>
      <c r="CA25" s="20"/>
      <c r="CB25" s="20"/>
      <c r="CC25" s="20"/>
      <c r="CD25" s="20"/>
      <c r="CE25" s="20"/>
      <c r="CF25" s="20"/>
      <c r="CG25" s="20"/>
      <c r="CH25" s="20"/>
      <c r="CI25" s="20"/>
      <c r="CJ25" s="20"/>
    </row>
    <row r="26" spans="2:88" ht="15" customHeight="1" x14ac:dyDescent="0.3">
      <c r="B26" s="230"/>
      <c r="C26" s="230"/>
      <c r="D26" s="230"/>
      <c r="F26" s="230"/>
      <c r="G26" s="230"/>
      <c r="H26" s="230"/>
      <c r="K26" s="231"/>
      <c r="L26" s="231"/>
      <c r="M26" s="231"/>
      <c r="N26" s="185" t="str">
        <f>IF($AQ$10=0,"Units?",IF($AQ$10=1,"ac",IF($AQ$10=2,"sq-ft","Error")))</f>
        <v>Units?</v>
      </c>
      <c r="O26" s="185"/>
      <c r="R26" s="231"/>
      <c r="S26" s="231"/>
      <c r="T26" s="231"/>
      <c r="U26" s="185" t="str">
        <f>IF($AQ$10=0,"Units?",IF($AQ$10=1,"ac",IF($AQ$10=2,"sq-ft","Error")))</f>
        <v>Units?</v>
      </c>
      <c r="V26" s="185"/>
      <c r="Y26" s="231"/>
      <c r="Z26" s="231"/>
      <c r="AA26" s="231"/>
      <c r="AB26" s="185" t="str">
        <f>IF($AQ$10=0,"Units?",IF($AQ$10=1,"ac",IF($AQ$10=2,"sq-ft","Error")))</f>
        <v>Units?</v>
      </c>
      <c r="AC26" s="185"/>
      <c r="AE26" s="51"/>
      <c r="AF26" s="22" t="s">
        <v>118</v>
      </c>
      <c r="AH26" s="51"/>
      <c r="AI26" s="22" t="s">
        <v>119</v>
      </c>
      <c r="AM26" s="91">
        <f>IF(ISBLANK(B26),1,2)</f>
        <v>1</v>
      </c>
      <c r="AN26" s="91">
        <f>IF(AND(ISBLANK(AE26),ISBLANK(AH26)),0,1)</f>
        <v>0</v>
      </c>
      <c r="AO26" s="91">
        <f>IF(AND(ISBLANK(AE26),LEN(AH26)&gt;0),2,1)</f>
        <v>1</v>
      </c>
      <c r="AP26" s="91">
        <f>IF(ISBLANK(AE26),1,IF(ISBLANK(AH26),2,3))</f>
        <v>1</v>
      </c>
      <c r="AR26" s="120">
        <v>5</v>
      </c>
      <c r="AS26" s="22" t="s">
        <v>532</v>
      </c>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20"/>
      <c r="BV26" s="20"/>
      <c r="BW26" s="20"/>
      <c r="BX26" s="20"/>
      <c r="BY26" s="20"/>
      <c r="BZ26" s="20"/>
      <c r="CA26" s="20"/>
      <c r="CB26" s="20"/>
      <c r="CC26" s="20"/>
      <c r="CD26" s="20"/>
      <c r="CE26" s="20"/>
      <c r="CF26" s="20"/>
      <c r="CG26" s="20"/>
      <c r="CH26" s="20"/>
      <c r="CI26" s="20"/>
      <c r="CJ26" s="20"/>
    </row>
    <row r="27" spans="2:88" ht="4.95" customHeight="1" x14ac:dyDescent="0.3">
      <c r="C27" s="4"/>
      <c r="F27" s="36"/>
      <c r="G27" s="36"/>
      <c r="K27" s="112"/>
      <c r="L27" s="112"/>
      <c r="M27" s="112"/>
      <c r="N27" s="13"/>
      <c r="O27" s="13"/>
      <c r="R27" s="112"/>
      <c r="S27" s="112"/>
      <c r="T27" s="112"/>
      <c r="U27" s="13"/>
      <c r="V27" s="13"/>
      <c r="Y27" s="112"/>
      <c r="Z27" s="112"/>
      <c r="AA27" s="112"/>
      <c r="AE27" s="113"/>
      <c r="AH27" s="113"/>
      <c r="AM27" s="16">
        <f t="shared" si="0"/>
        <v>0</v>
      </c>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20"/>
      <c r="BV27" s="20"/>
      <c r="BW27" s="20"/>
      <c r="BX27" s="20"/>
      <c r="BY27" s="20"/>
      <c r="BZ27" s="20"/>
      <c r="CA27" s="20"/>
      <c r="CB27" s="20"/>
      <c r="CC27" s="20"/>
      <c r="CD27" s="20"/>
      <c r="CE27" s="20"/>
      <c r="CF27" s="20"/>
      <c r="CG27" s="20"/>
      <c r="CH27" s="20"/>
      <c r="CI27" s="20"/>
      <c r="CJ27" s="20"/>
    </row>
    <row r="28" spans="2:88" ht="15" customHeight="1" x14ac:dyDescent="0.3">
      <c r="B28" s="230"/>
      <c r="C28" s="230"/>
      <c r="D28" s="230"/>
      <c r="F28" s="230"/>
      <c r="G28" s="230"/>
      <c r="H28" s="230"/>
      <c r="K28" s="231"/>
      <c r="L28" s="231"/>
      <c r="M28" s="231"/>
      <c r="N28" s="185" t="str">
        <f>IF($AQ$10=0,"Units?",IF($AQ$10=1,"ac",IF($AQ$10=2,"sq-ft","Error")))</f>
        <v>Units?</v>
      </c>
      <c r="O28" s="185"/>
      <c r="R28" s="231"/>
      <c r="S28" s="231"/>
      <c r="T28" s="231"/>
      <c r="U28" s="185" t="str">
        <f>IF($AQ$10=0,"Units?",IF($AQ$10=1,"ac",IF($AQ$10=2,"sq-ft","Error")))</f>
        <v>Units?</v>
      </c>
      <c r="V28" s="185"/>
      <c r="Y28" s="231"/>
      <c r="Z28" s="231"/>
      <c r="AA28" s="231"/>
      <c r="AB28" s="185" t="str">
        <f>IF($AQ$10=0,"Units?",IF($AQ$10=1,"ac",IF($AQ$10=2,"sq-ft","Error")))</f>
        <v>Units?</v>
      </c>
      <c r="AC28" s="185"/>
      <c r="AE28" s="51"/>
      <c r="AF28" s="22" t="s">
        <v>118</v>
      </c>
      <c r="AH28" s="51"/>
      <c r="AI28" s="22" t="s">
        <v>119</v>
      </c>
      <c r="AM28" s="91">
        <f>IF(ISBLANK(B28),1,2)</f>
        <v>1</v>
      </c>
      <c r="AN28" s="91">
        <f>IF(AND(ISBLANK(AE28),ISBLANK(AH28)),0,1)</f>
        <v>0</v>
      </c>
      <c r="AO28" s="91">
        <f>IF(AND(ISBLANK(AE28),LEN(AH28)&gt;0),2,1)</f>
        <v>1</v>
      </c>
      <c r="AP28" s="91">
        <f>IF(ISBLANK(AE28),1,IF(ISBLANK(AH28),2,3))</f>
        <v>1</v>
      </c>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20"/>
      <c r="BV28" s="20"/>
      <c r="BW28" s="20"/>
      <c r="BX28" s="20"/>
      <c r="BY28" s="20"/>
      <c r="BZ28" s="20"/>
      <c r="CA28" s="20"/>
      <c r="CB28" s="20"/>
      <c r="CC28" s="20"/>
      <c r="CD28" s="20"/>
      <c r="CE28" s="20"/>
      <c r="CF28" s="20"/>
      <c r="CG28" s="20"/>
      <c r="CH28" s="20"/>
      <c r="CI28" s="20"/>
      <c r="CJ28" s="20"/>
    </row>
    <row r="29" spans="2:88" ht="4.95" customHeight="1" x14ac:dyDescent="0.3">
      <c r="C29" s="4"/>
      <c r="F29" s="36"/>
      <c r="G29" s="36"/>
      <c r="K29" s="112"/>
      <c r="L29" s="112"/>
      <c r="M29" s="112"/>
      <c r="N29" s="13"/>
      <c r="O29" s="13"/>
      <c r="R29" s="112"/>
      <c r="S29" s="112"/>
      <c r="T29" s="112"/>
      <c r="U29" s="13"/>
      <c r="V29" s="13"/>
      <c r="Y29" s="112"/>
      <c r="Z29" s="112"/>
      <c r="AA29" s="112"/>
      <c r="AE29" s="113"/>
      <c r="AH29" s="113"/>
      <c r="AM29" s="16">
        <f t="shared" si="0"/>
        <v>0</v>
      </c>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20"/>
      <c r="BV29" s="20"/>
      <c r="BW29" s="20"/>
      <c r="BX29" s="20"/>
      <c r="BY29" s="20"/>
      <c r="BZ29" s="20"/>
      <c r="CA29" s="20"/>
      <c r="CB29" s="20"/>
      <c r="CC29" s="20"/>
      <c r="CD29" s="20"/>
      <c r="CE29" s="20"/>
      <c r="CF29" s="20"/>
      <c r="CG29" s="20"/>
      <c r="CH29" s="20"/>
      <c r="CI29" s="20"/>
      <c r="CJ29" s="20"/>
    </row>
    <row r="30" spans="2:88" ht="15" customHeight="1" x14ac:dyDescent="0.3">
      <c r="B30" s="230"/>
      <c r="C30" s="230"/>
      <c r="D30" s="230"/>
      <c r="F30" s="230"/>
      <c r="G30" s="230"/>
      <c r="H30" s="230"/>
      <c r="K30" s="231"/>
      <c r="L30" s="231"/>
      <c r="M30" s="231"/>
      <c r="N30" s="185" t="str">
        <f>IF($AQ$10=0,"Units?",IF($AQ$10=1,"ac",IF($AQ$10=2,"sq-ft","Error")))</f>
        <v>Units?</v>
      </c>
      <c r="O30" s="185"/>
      <c r="R30" s="231"/>
      <c r="S30" s="231"/>
      <c r="T30" s="231"/>
      <c r="U30" s="185" t="str">
        <f>IF($AQ$10=0,"Units?",IF($AQ$10=1,"ac",IF($AQ$10=2,"sq-ft","Error")))</f>
        <v>Units?</v>
      </c>
      <c r="V30" s="185"/>
      <c r="Y30" s="231"/>
      <c r="Z30" s="231"/>
      <c r="AA30" s="231"/>
      <c r="AB30" s="185" t="str">
        <f>IF($AQ$10=0,"Units?",IF($AQ$10=1,"ac",IF($AQ$10=2,"sq-ft","Error")))</f>
        <v>Units?</v>
      </c>
      <c r="AC30" s="185"/>
      <c r="AE30" s="51"/>
      <c r="AF30" s="22" t="s">
        <v>118</v>
      </c>
      <c r="AH30" s="51"/>
      <c r="AI30" s="22" t="s">
        <v>119</v>
      </c>
      <c r="AM30" s="91">
        <f>IF(ISBLANK(B30),1,2)</f>
        <v>1</v>
      </c>
      <c r="AN30" s="91">
        <f>IF(AND(ISBLANK(AE30),ISBLANK(AH30)),0,1)</f>
        <v>0</v>
      </c>
      <c r="AO30" s="91">
        <f>IF(AND(ISBLANK(AE30),LEN(AH30)&gt;0),2,1)</f>
        <v>1</v>
      </c>
      <c r="AP30" s="91">
        <f>IF(ISBLANK(AE30),1,IF(ISBLANK(AH30),2,3))</f>
        <v>1</v>
      </c>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20"/>
      <c r="BV30" s="20"/>
      <c r="BW30" s="20"/>
      <c r="BX30" s="20"/>
      <c r="BY30" s="20"/>
      <c r="BZ30" s="20"/>
      <c r="CA30" s="20"/>
      <c r="CB30" s="20"/>
      <c r="CC30" s="20"/>
      <c r="CD30" s="20"/>
      <c r="CE30" s="20"/>
      <c r="CF30" s="20"/>
      <c r="CG30" s="20"/>
      <c r="CH30" s="20"/>
      <c r="CI30" s="20"/>
      <c r="CJ30" s="20"/>
    </row>
    <row r="31" spans="2:88" ht="4.95" customHeight="1" x14ac:dyDescent="0.3">
      <c r="C31" s="4"/>
      <c r="F31" s="36"/>
      <c r="G31" s="36"/>
      <c r="K31" s="112"/>
      <c r="L31" s="112"/>
      <c r="M31" s="112"/>
      <c r="N31" s="13"/>
      <c r="O31" s="13"/>
      <c r="R31" s="112"/>
      <c r="S31" s="112"/>
      <c r="T31" s="112"/>
      <c r="U31" s="13"/>
      <c r="V31" s="13"/>
      <c r="Y31" s="112"/>
      <c r="Z31" s="112"/>
      <c r="AA31" s="112"/>
      <c r="AE31" s="113"/>
      <c r="AH31" s="113"/>
      <c r="AM31" s="16">
        <f t="shared" si="0"/>
        <v>0</v>
      </c>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20"/>
      <c r="BV31" s="20"/>
      <c r="BW31" s="20"/>
      <c r="BX31" s="20"/>
      <c r="BY31" s="20"/>
      <c r="BZ31" s="20"/>
      <c r="CA31" s="20"/>
      <c r="CB31" s="20"/>
      <c r="CC31" s="20"/>
      <c r="CD31" s="20"/>
      <c r="CE31" s="20"/>
      <c r="CF31" s="20"/>
      <c r="CG31" s="20"/>
      <c r="CH31" s="20"/>
      <c r="CI31" s="20"/>
      <c r="CJ31" s="20"/>
    </row>
    <row r="32" spans="2:88" ht="15" customHeight="1" x14ac:dyDescent="0.3">
      <c r="B32" s="230"/>
      <c r="C32" s="230"/>
      <c r="D32" s="230"/>
      <c r="F32" s="230"/>
      <c r="G32" s="230"/>
      <c r="H32" s="230"/>
      <c r="K32" s="231"/>
      <c r="L32" s="231"/>
      <c r="M32" s="231"/>
      <c r="N32" s="185" t="str">
        <f>IF($AQ$10=0,"Units?",IF($AQ$10=1,"ac",IF($AQ$10=2,"sq-ft","Error")))</f>
        <v>Units?</v>
      </c>
      <c r="O32" s="185"/>
      <c r="R32" s="231"/>
      <c r="S32" s="231"/>
      <c r="T32" s="231"/>
      <c r="U32" s="185" t="str">
        <f>IF($AQ$10=0,"Units?",IF($AQ$10=1,"ac",IF($AQ$10=2,"sq-ft","Error")))</f>
        <v>Units?</v>
      </c>
      <c r="V32" s="185"/>
      <c r="Y32" s="231"/>
      <c r="Z32" s="231"/>
      <c r="AA32" s="231"/>
      <c r="AB32" s="185" t="str">
        <f>IF($AQ$10=0,"Units?",IF($AQ$10=1,"ac",IF($AQ$10=2,"sq-ft","Error")))</f>
        <v>Units?</v>
      </c>
      <c r="AC32" s="185"/>
      <c r="AE32" s="51"/>
      <c r="AF32" s="22" t="s">
        <v>118</v>
      </c>
      <c r="AH32" s="51"/>
      <c r="AI32" s="22" t="s">
        <v>119</v>
      </c>
      <c r="AM32" s="91">
        <f>IF(ISBLANK(B32),1,2)</f>
        <v>1</v>
      </c>
      <c r="AN32" s="91">
        <f>IF(AND(ISBLANK(AE32),ISBLANK(AH32)),0,1)</f>
        <v>0</v>
      </c>
      <c r="AO32" s="91">
        <f>IF(AND(ISBLANK(AE32),LEN(AH32)&gt;0),2,1)</f>
        <v>1</v>
      </c>
      <c r="AP32" s="91">
        <f>IF(ISBLANK(AE32),1,IF(ISBLANK(AH32),2,3))</f>
        <v>1</v>
      </c>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20"/>
      <c r="BV32" s="20"/>
      <c r="BW32" s="20"/>
      <c r="BX32" s="20"/>
      <c r="BY32" s="20"/>
      <c r="BZ32" s="20"/>
      <c r="CA32" s="20"/>
      <c r="CB32" s="20"/>
      <c r="CC32" s="20"/>
      <c r="CD32" s="20"/>
      <c r="CE32" s="20"/>
      <c r="CF32" s="20"/>
      <c r="CG32" s="20"/>
      <c r="CH32" s="20"/>
      <c r="CI32" s="20"/>
      <c r="CJ32" s="20"/>
    </row>
    <row r="33" spans="2:88" ht="4.95" customHeight="1" x14ac:dyDescent="0.3">
      <c r="C33" s="4"/>
      <c r="F33" s="36"/>
      <c r="G33" s="36"/>
      <c r="K33" s="112"/>
      <c r="L33" s="112"/>
      <c r="M33" s="112"/>
      <c r="N33" s="13"/>
      <c r="O33" s="13"/>
      <c r="R33" s="112"/>
      <c r="S33" s="112"/>
      <c r="T33" s="112"/>
      <c r="U33" s="13"/>
      <c r="V33" s="13"/>
      <c r="Y33" s="112"/>
      <c r="Z33" s="112"/>
      <c r="AA33" s="112"/>
      <c r="AE33" s="113"/>
      <c r="AH33" s="113"/>
      <c r="AM33" s="16">
        <f t="shared" si="0"/>
        <v>0</v>
      </c>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20"/>
      <c r="BV33" s="20"/>
      <c r="BW33" s="20"/>
      <c r="BX33" s="20"/>
      <c r="BY33" s="20"/>
      <c r="BZ33" s="20"/>
      <c r="CA33" s="20"/>
      <c r="CB33" s="20"/>
      <c r="CC33" s="20"/>
      <c r="CD33" s="20"/>
      <c r="CE33" s="20"/>
      <c r="CF33" s="20"/>
      <c r="CG33" s="20"/>
      <c r="CH33" s="20"/>
      <c r="CI33" s="20"/>
      <c r="CJ33" s="20"/>
    </row>
    <row r="34" spans="2:88" ht="15" customHeight="1" x14ac:dyDescent="0.3">
      <c r="B34" s="230"/>
      <c r="C34" s="230"/>
      <c r="D34" s="230"/>
      <c r="F34" s="230"/>
      <c r="G34" s="230"/>
      <c r="H34" s="230"/>
      <c r="K34" s="231"/>
      <c r="L34" s="231"/>
      <c r="M34" s="231"/>
      <c r="N34" s="185" t="str">
        <f>IF($AQ$10=0,"Units?",IF($AQ$10=1,"ac",IF($AQ$10=2,"sq-ft","Error")))</f>
        <v>Units?</v>
      </c>
      <c r="O34" s="185"/>
      <c r="R34" s="231"/>
      <c r="S34" s="231"/>
      <c r="T34" s="231"/>
      <c r="U34" s="185" t="str">
        <f>IF($AQ$10=0,"Units?",IF($AQ$10=1,"ac",IF($AQ$10=2,"sq-ft","Error")))</f>
        <v>Units?</v>
      </c>
      <c r="V34" s="185"/>
      <c r="Y34" s="231"/>
      <c r="Z34" s="231"/>
      <c r="AA34" s="231"/>
      <c r="AB34" s="185" t="str">
        <f>IF($AQ$10=0,"Units?",IF($AQ$10=1,"ac",IF($AQ$10=2,"sq-ft","Error")))</f>
        <v>Units?</v>
      </c>
      <c r="AC34" s="185"/>
      <c r="AE34" s="51"/>
      <c r="AF34" s="22" t="s">
        <v>118</v>
      </c>
      <c r="AH34" s="51"/>
      <c r="AI34" s="22" t="s">
        <v>119</v>
      </c>
      <c r="AM34" s="91">
        <f>IF(ISBLANK(B34),1,2)</f>
        <v>1</v>
      </c>
      <c r="AN34" s="91">
        <f>IF(AND(ISBLANK(AE34),ISBLANK(AH34)),0,1)</f>
        <v>0</v>
      </c>
      <c r="AO34" s="91">
        <f>IF(AND(ISBLANK(AE34),LEN(AH34)&gt;0),2,1)</f>
        <v>1</v>
      </c>
      <c r="AP34" s="91">
        <f>IF(ISBLANK(AE34),1,IF(ISBLANK(AH34),2,3))</f>
        <v>1</v>
      </c>
      <c r="AR34" s="20"/>
      <c r="AS34" s="17"/>
      <c r="AT34" s="59"/>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20"/>
      <c r="BV34" s="20"/>
      <c r="BW34" s="20"/>
      <c r="BX34" s="20"/>
      <c r="BY34" s="20"/>
      <c r="BZ34" s="20"/>
      <c r="CA34" s="20"/>
      <c r="CB34" s="20"/>
      <c r="CC34" s="20"/>
      <c r="CD34" s="20"/>
      <c r="CE34" s="20"/>
      <c r="CF34" s="20"/>
      <c r="CG34" s="20"/>
      <c r="CH34" s="20"/>
      <c r="CI34" s="20"/>
      <c r="CJ34" s="20"/>
    </row>
    <row r="35" spans="2:88" ht="4.95" customHeight="1" x14ac:dyDescent="0.3">
      <c r="C35" s="4"/>
      <c r="F35" s="36"/>
      <c r="G35" s="36"/>
      <c r="K35" s="112"/>
      <c r="L35" s="112"/>
      <c r="M35" s="112"/>
      <c r="N35" s="13"/>
      <c r="O35" s="13"/>
      <c r="R35" s="112"/>
      <c r="S35" s="112"/>
      <c r="T35" s="112"/>
      <c r="U35" s="13"/>
      <c r="V35" s="13"/>
      <c r="Y35" s="112"/>
      <c r="Z35" s="112"/>
      <c r="AA35" s="112"/>
      <c r="AE35" s="113"/>
      <c r="AH35" s="113"/>
      <c r="AM35" s="16">
        <f t="shared" si="0"/>
        <v>0</v>
      </c>
      <c r="AR35" s="20"/>
      <c r="AS35" s="17"/>
      <c r="AT35" s="59"/>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20"/>
      <c r="BV35" s="20"/>
      <c r="BW35" s="20"/>
      <c r="BX35" s="20"/>
      <c r="BY35" s="20"/>
      <c r="BZ35" s="20"/>
      <c r="CA35" s="20"/>
      <c r="CB35" s="20"/>
      <c r="CC35" s="20"/>
      <c r="CD35" s="20"/>
      <c r="CE35" s="20"/>
      <c r="CF35" s="20"/>
      <c r="CG35" s="20"/>
      <c r="CH35" s="20"/>
      <c r="CI35" s="20"/>
      <c r="CJ35" s="20"/>
    </row>
    <row r="36" spans="2:88" ht="15" customHeight="1" x14ac:dyDescent="0.3">
      <c r="B36" s="230"/>
      <c r="C36" s="230"/>
      <c r="D36" s="230"/>
      <c r="F36" s="230"/>
      <c r="G36" s="230"/>
      <c r="H36" s="230"/>
      <c r="K36" s="231"/>
      <c r="L36" s="231"/>
      <c r="M36" s="231"/>
      <c r="N36" s="185" t="str">
        <f>IF($AQ$10=0,"Units?",IF($AQ$10=1,"ac",IF($AQ$10=2,"sq-ft","Error")))</f>
        <v>Units?</v>
      </c>
      <c r="O36" s="185"/>
      <c r="R36" s="231"/>
      <c r="S36" s="231"/>
      <c r="T36" s="231"/>
      <c r="U36" s="185" t="str">
        <f>IF($AQ$10=0,"Units?",IF($AQ$10=1,"ac",IF($AQ$10=2,"sq-ft","Error")))</f>
        <v>Units?</v>
      </c>
      <c r="V36" s="185"/>
      <c r="Y36" s="231"/>
      <c r="Z36" s="231"/>
      <c r="AA36" s="231"/>
      <c r="AB36" s="185" t="str">
        <f>IF($AQ$10=0,"Units?",IF($AQ$10=1,"ac",IF($AQ$10=2,"sq-ft","Error")))</f>
        <v>Units?</v>
      </c>
      <c r="AC36" s="185"/>
      <c r="AE36" s="51"/>
      <c r="AF36" s="22" t="s">
        <v>118</v>
      </c>
      <c r="AH36" s="51"/>
      <c r="AI36" s="22" t="s">
        <v>119</v>
      </c>
      <c r="AM36" s="91">
        <f>IF(ISBLANK(B36),1,2)</f>
        <v>1</v>
      </c>
      <c r="AN36" s="91">
        <f>IF(AND(ISBLANK(AE36),ISBLANK(AH36)),0,1)</f>
        <v>0</v>
      </c>
      <c r="AO36" s="91">
        <f>IF(AND(ISBLANK(AE36),LEN(AH36)&gt;0),2,1)</f>
        <v>1</v>
      </c>
      <c r="AP36" s="91">
        <f>IF(ISBLANK(AE36),1,IF(ISBLANK(AH36),2,3))</f>
        <v>1</v>
      </c>
      <c r="AR36" s="17"/>
      <c r="AS36" s="105"/>
      <c r="AT36" s="59"/>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20"/>
      <c r="BV36" s="20"/>
      <c r="BW36" s="20"/>
      <c r="BX36" s="20"/>
      <c r="BY36" s="20"/>
      <c r="BZ36" s="20"/>
      <c r="CA36" s="20"/>
      <c r="CB36" s="20"/>
      <c r="CC36" s="20"/>
      <c r="CD36" s="20"/>
      <c r="CE36" s="20"/>
      <c r="CF36" s="20"/>
      <c r="CG36" s="20"/>
      <c r="CH36" s="20"/>
      <c r="CI36" s="20"/>
      <c r="CJ36" s="20"/>
    </row>
    <row r="37" spans="2:88" ht="4.95" customHeight="1" x14ac:dyDescent="0.3">
      <c r="C37" s="4"/>
      <c r="F37" s="36"/>
      <c r="G37" s="36"/>
      <c r="K37" s="112"/>
      <c r="L37" s="112"/>
      <c r="M37" s="112"/>
      <c r="N37" s="13"/>
      <c r="O37" s="13"/>
      <c r="R37" s="112"/>
      <c r="S37" s="112"/>
      <c r="T37" s="112"/>
      <c r="U37" s="13"/>
      <c r="V37" s="13"/>
      <c r="Y37" s="112"/>
      <c r="Z37" s="112"/>
      <c r="AA37" s="112"/>
      <c r="AE37" s="113"/>
      <c r="AH37" s="113"/>
      <c r="AM37" s="16">
        <f t="shared" si="0"/>
        <v>0</v>
      </c>
      <c r="AR37" s="17"/>
      <c r="AS37" s="105"/>
      <c r="AT37" s="59"/>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20"/>
      <c r="BV37" s="20"/>
      <c r="BW37" s="20"/>
      <c r="BX37" s="20"/>
      <c r="BY37" s="20"/>
      <c r="BZ37" s="20"/>
      <c r="CA37" s="20"/>
      <c r="CB37" s="20"/>
      <c r="CC37" s="20"/>
      <c r="CD37" s="20"/>
      <c r="CE37" s="20"/>
      <c r="CF37" s="20"/>
      <c r="CG37" s="20"/>
      <c r="CH37" s="20"/>
      <c r="CI37" s="20"/>
      <c r="CJ37" s="20"/>
    </row>
    <row r="38" spans="2:88" ht="15" customHeight="1" x14ac:dyDescent="0.3">
      <c r="B38" s="230"/>
      <c r="C38" s="230"/>
      <c r="D38" s="230"/>
      <c r="F38" s="230"/>
      <c r="G38" s="230"/>
      <c r="H38" s="230"/>
      <c r="K38" s="231"/>
      <c r="L38" s="231"/>
      <c r="M38" s="231"/>
      <c r="N38" s="185" t="str">
        <f>IF($AQ$10=0,"Units?",IF($AQ$10=1,"ac",IF($AQ$10=2,"sq-ft","Error")))</f>
        <v>Units?</v>
      </c>
      <c r="O38" s="185"/>
      <c r="R38" s="231"/>
      <c r="S38" s="231"/>
      <c r="T38" s="231"/>
      <c r="U38" s="185" t="str">
        <f>IF($AQ$10=0,"Units?",IF($AQ$10=1,"ac",IF($AQ$10=2,"sq-ft","Error")))</f>
        <v>Units?</v>
      </c>
      <c r="V38" s="185"/>
      <c r="Y38" s="231"/>
      <c r="Z38" s="231"/>
      <c r="AA38" s="231"/>
      <c r="AB38" s="185" t="str">
        <f>IF($AQ$10=0,"Units?",IF($AQ$10=1,"ac",IF($AQ$10=2,"sq-ft","Error")))</f>
        <v>Units?</v>
      </c>
      <c r="AC38" s="185"/>
      <c r="AE38" s="51"/>
      <c r="AF38" s="22" t="s">
        <v>118</v>
      </c>
      <c r="AH38" s="51"/>
      <c r="AI38" s="22" t="s">
        <v>119</v>
      </c>
      <c r="AM38" s="91">
        <f>IF(ISBLANK(B38),1,2)</f>
        <v>1</v>
      </c>
      <c r="AN38" s="91">
        <f>IF(AND(ISBLANK(AE38),ISBLANK(AH38)),0,1)</f>
        <v>0</v>
      </c>
      <c r="AO38" s="91">
        <f>IF(AND(ISBLANK(AE38),LEN(AH38)&gt;0),2,1)</f>
        <v>1</v>
      </c>
      <c r="AP38" s="91">
        <f>IF(ISBLANK(AE38),1,IF(ISBLANK(AH38),2,3))</f>
        <v>1</v>
      </c>
      <c r="AR38" s="20"/>
      <c r="AS38" s="17"/>
      <c r="AT38" s="59"/>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20"/>
      <c r="BV38" s="20"/>
      <c r="BW38" s="20"/>
      <c r="BX38" s="20"/>
      <c r="BY38" s="20"/>
      <c r="BZ38" s="20"/>
      <c r="CA38" s="20"/>
      <c r="CB38" s="20"/>
      <c r="CC38" s="20"/>
      <c r="CD38" s="20"/>
      <c r="CE38" s="20"/>
      <c r="CF38" s="20"/>
      <c r="CG38" s="20"/>
      <c r="CH38" s="20"/>
      <c r="CI38" s="20"/>
      <c r="CJ38" s="20"/>
    </row>
    <row r="39" spans="2:88" ht="4.95" customHeight="1" x14ac:dyDescent="0.3">
      <c r="C39" s="4"/>
      <c r="F39" s="36"/>
      <c r="G39" s="36"/>
      <c r="K39" s="112"/>
      <c r="L39" s="112"/>
      <c r="M39" s="112"/>
      <c r="N39" s="13"/>
      <c r="O39" s="13"/>
      <c r="R39" s="112"/>
      <c r="S39" s="112"/>
      <c r="T39" s="112"/>
      <c r="U39" s="13"/>
      <c r="V39" s="13"/>
      <c r="Y39" s="112"/>
      <c r="Z39" s="112"/>
      <c r="AA39" s="112"/>
      <c r="AE39" s="113"/>
      <c r="AH39" s="113"/>
      <c r="AM39" s="16">
        <f t="shared" si="0"/>
        <v>0</v>
      </c>
      <c r="AR39" s="20"/>
      <c r="AS39" s="17"/>
      <c r="AT39" s="59"/>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20"/>
      <c r="BV39" s="20"/>
      <c r="BW39" s="20"/>
      <c r="BX39" s="20"/>
      <c r="BY39" s="20"/>
      <c r="BZ39" s="20"/>
      <c r="CA39" s="20"/>
      <c r="CB39" s="20"/>
      <c r="CC39" s="20"/>
      <c r="CD39" s="20"/>
      <c r="CE39" s="20"/>
      <c r="CF39" s="20"/>
      <c r="CG39" s="20"/>
      <c r="CH39" s="20"/>
      <c r="CI39" s="20"/>
      <c r="CJ39" s="20"/>
    </row>
    <row r="40" spans="2:88" ht="15" customHeight="1" x14ac:dyDescent="0.3">
      <c r="B40" s="230"/>
      <c r="C40" s="230"/>
      <c r="D40" s="230"/>
      <c r="F40" s="230"/>
      <c r="G40" s="230"/>
      <c r="H40" s="230"/>
      <c r="K40" s="231"/>
      <c r="L40" s="231"/>
      <c r="M40" s="231"/>
      <c r="N40" s="185" t="str">
        <f>IF($AQ$10=0,"Units?",IF($AQ$10=1,"ac",IF($AQ$10=2,"sq-ft","Error")))</f>
        <v>Units?</v>
      </c>
      <c r="O40" s="185"/>
      <c r="R40" s="231"/>
      <c r="S40" s="231"/>
      <c r="T40" s="231"/>
      <c r="U40" s="185" t="str">
        <f>IF($AQ$10=0,"Units?",IF($AQ$10=1,"ac",IF($AQ$10=2,"sq-ft","Error")))</f>
        <v>Units?</v>
      </c>
      <c r="V40" s="185"/>
      <c r="Y40" s="231"/>
      <c r="Z40" s="231"/>
      <c r="AA40" s="231"/>
      <c r="AB40" s="185" t="str">
        <f>IF($AQ$10=0,"Units?",IF($AQ$10=1,"ac",IF($AQ$10=2,"sq-ft","Error")))</f>
        <v>Units?</v>
      </c>
      <c r="AC40" s="185"/>
      <c r="AE40" s="51"/>
      <c r="AF40" s="22" t="s">
        <v>118</v>
      </c>
      <c r="AH40" s="51"/>
      <c r="AI40" s="22" t="s">
        <v>119</v>
      </c>
      <c r="AM40" s="91">
        <f>IF(ISBLANK(B40),1,2)</f>
        <v>1</v>
      </c>
      <c r="AN40" s="91">
        <f>IF(AND(ISBLANK(AE40),ISBLANK(AH40)),0,1)</f>
        <v>0</v>
      </c>
      <c r="AO40" s="91">
        <f>IF(AND(ISBLANK(AE40),LEN(AH40)&gt;0),2,1)</f>
        <v>1</v>
      </c>
      <c r="AP40" s="91">
        <f>IF(ISBLANK(AE40),1,IF(ISBLANK(AH40),2,3))</f>
        <v>1</v>
      </c>
      <c r="AR40" s="20"/>
      <c r="AS40" s="17"/>
      <c r="AT40" s="59"/>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20"/>
      <c r="BV40" s="20"/>
      <c r="BW40" s="20"/>
      <c r="BX40" s="20"/>
      <c r="BY40" s="20"/>
      <c r="BZ40" s="20"/>
      <c r="CA40" s="20"/>
      <c r="CB40" s="20"/>
      <c r="CC40" s="20"/>
      <c r="CD40" s="20"/>
      <c r="CE40" s="20"/>
      <c r="CF40" s="20"/>
      <c r="CG40" s="20"/>
      <c r="CH40" s="20"/>
      <c r="CI40" s="20"/>
      <c r="CJ40" s="20"/>
    </row>
    <row r="41" spans="2:88" ht="4.95" customHeight="1" x14ac:dyDescent="0.3">
      <c r="C41" s="4"/>
      <c r="F41" s="36"/>
      <c r="G41" s="36"/>
      <c r="K41" s="112"/>
      <c r="L41" s="112"/>
      <c r="M41" s="112"/>
      <c r="N41" s="13"/>
      <c r="O41" s="13"/>
      <c r="R41" s="112"/>
      <c r="S41" s="112"/>
      <c r="T41" s="112"/>
      <c r="U41" s="13"/>
      <c r="V41" s="13"/>
      <c r="Y41" s="112"/>
      <c r="Z41" s="112"/>
      <c r="AA41" s="112"/>
      <c r="AE41" s="113"/>
      <c r="AH41" s="113"/>
      <c r="AM41" s="16">
        <f t="shared" si="0"/>
        <v>0</v>
      </c>
      <c r="AR41" s="20"/>
      <c r="AS41" s="17"/>
      <c r="AT41" s="59"/>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20"/>
      <c r="BV41" s="20"/>
      <c r="BW41" s="20"/>
      <c r="BX41" s="20"/>
      <c r="BY41" s="20"/>
      <c r="BZ41" s="20"/>
      <c r="CA41" s="20"/>
      <c r="CB41" s="20"/>
      <c r="CC41" s="20"/>
      <c r="CD41" s="20"/>
      <c r="CE41" s="20"/>
      <c r="CF41" s="20"/>
      <c r="CG41" s="20"/>
      <c r="CH41" s="20"/>
      <c r="CI41" s="20"/>
      <c r="CJ41" s="20"/>
    </row>
    <row r="42" spans="2:88" ht="15" customHeight="1" x14ac:dyDescent="0.3">
      <c r="B42" s="230"/>
      <c r="C42" s="230"/>
      <c r="D42" s="230"/>
      <c r="F42" s="230"/>
      <c r="G42" s="230"/>
      <c r="H42" s="230"/>
      <c r="K42" s="231"/>
      <c r="L42" s="231"/>
      <c r="M42" s="231"/>
      <c r="N42" s="185" t="str">
        <f>IF($AQ$10=0,"Units?",IF($AQ$10=1,"ac",IF($AQ$10=2,"sq-ft","Error")))</f>
        <v>Units?</v>
      </c>
      <c r="O42" s="185"/>
      <c r="R42" s="231"/>
      <c r="S42" s="231"/>
      <c r="T42" s="231"/>
      <c r="U42" s="185" t="str">
        <f>IF($AQ$10=0,"Units?",IF($AQ$10=1,"ac",IF($AQ$10=2,"sq-ft","Error")))</f>
        <v>Units?</v>
      </c>
      <c r="V42" s="185"/>
      <c r="Y42" s="231"/>
      <c r="Z42" s="231"/>
      <c r="AA42" s="231"/>
      <c r="AB42" s="185" t="str">
        <f>IF($AQ$10=0,"Units?",IF($AQ$10=1,"ac",IF($AQ$10=2,"sq-ft","Error")))</f>
        <v>Units?</v>
      </c>
      <c r="AC42" s="185"/>
      <c r="AE42" s="51"/>
      <c r="AF42" s="22" t="s">
        <v>118</v>
      </c>
      <c r="AH42" s="51"/>
      <c r="AI42" s="22" t="s">
        <v>119</v>
      </c>
      <c r="AM42" s="91">
        <f>IF(ISBLANK(B42),1,2)</f>
        <v>1</v>
      </c>
      <c r="AN42" s="91">
        <f>IF(AND(ISBLANK(AE42),ISBLANK(AH42)),0,1)</f>
        <v>0</v>
      </c>
      <c r="AO42" s="91">
        <f>IF(AND(ISBLANK(AE42),LEN(AH42)&gt;0),2,1)</f>
        <v>1</v>
      </c>
      <c r="AP42" s="91">
        <f>IF(ISBLANK(AE42),1,IF(ISBLANK(AH42),2,3))</f>
        <v>1</v>
      </c>
      <c r="AR42" s="20"/>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20"/>
      <c r="BV42" s="20"/>
      <c r="BW42" s="20"/>
      <c r="BX42" s="20"/>
      <c r="BY42" s="20"/>
      <c r="BZ42" s="20"/>
      <c r="CA42" s="20"/>
      <c r="CB42" s="20"/>
      <c r="CC42" s="20"/>
      <c r="CD42" s="20"/>
      <c r="CE42" s="20"/>
      <c r="CF42" s="20"/>
      <c r="CG42" s="20"/>
      <c r="CH42" s="20"/>
      <c r="CI42" s="20"/>
      <c r="CJ42" s="20"/>
    </row>
    <row r="43" spans="2:88" ht="4.95" customHeight="1" x14ac:dyDescent="0.3">
      <c r="C43" s="4"/>
      <c r="F43" s="36"/>
      <c r="G43" s="36"/>
      <c r="K43" s="112"/>
      <c r="L43" s="112"/>
      <c r="M43" s="112"/>
      <c r="N43" s="13"/>
      <c r="O43" s="13"/>
      <c r="R43" s="112"/>
      <c r="S43" s="112"/>
      <c r="T43" s="112"/>
      <c r="U43" s="13"/>
      <c r="V43" s="13"/>
      <c r="Y43" s="112"/>
      <c r="Z43" s="112"/>
      <c r="AA43" s="112"/>
      <c r="AE43" s="113"/>
      <c r="AH43" s="113"/>
      <c r="AM43" s="16">
        <f t="shared" si="0"/>
        <v>0</v>
      </c>
      <c r="AR43" s="20"/>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20"/>
      <c r="BV43" s="20"/>
      <c r="BW43" s="20"/>
      <c r="BX43" s="20"/>
      <c r="BY43" s="20"/>
      <c r="BZ43" s="20"/>
      <c r="CA43" s="20"/>
      <c r="CB43" s="20"/>
      <c r="CC43" s="20"/>
      <c r="CD43" s="20"/>
      <c r="CE43" s="20"/>
      <c r="CF43" s="20"/>
      <c r="CG43" s="20"/>
      <c r="CH43" s="20"/>
      <c r="CI43" s="20"/>
      <c r="CJ43" s="20"/>
    </row>
    <row r="44" spans="2:88" ht="15" customHeight="1" x14ac:dyDescent="0.3">
      <c r="B44" s="230"/>
      <c r="C44" s="230"/>
      <c r="D44" s="230"/>
      <c r="F44" s="230"/>
      <c r="G44" s="230"/>
      <c r="H44" s="230"/>
      <c r="K44" s="231"/>
      <c r="L44" s="231"/>
      <c r="M44" s="231"/>
      <c r="N44" s="185" t="str">
        <f>IF($AQ$10=0,"Units?",IF($AQ$10=1,"ac",IF($AQ$10=2,"sq-ft","Error")))</f>
        <v>Units?</v>
      </c>
      <c r="O44" s="185"/>
      <c r="R44" s="231"/>
      <c r="S44" s="231"/>
      <c r="T44" s="231"/>
      <c r="U44" s="185" t="str">
        <f>IF($AQ$10=0,"Units?",IF($AQ$10=1,"ac",IF($AQ$10=2,"sq-ft","Error")))</f>
        <v>Units?</v>
      </c>
      <c r="V44" s="185"/>
      <c r="Y44" s="231"/>
      <c r="Z44" s="231"/>
      <c r="AA44" s="231"/>
      <c r="AB44" s="185" t="str">
        <f>IF($AQ$10=0,"Units?",IF($AQ$10=1,"ac",IF($AQ$10=2,"sq-ft","Error")))</f>
        <v>Units?</v>
      </c>
      <c r="AC44" s="185"/>
      <c r="AE44" s="51"/>
      <c r="AF44" s="22" t="s">
        <v>118</v>
      </c>
      <c r="AH44" s="51"/>
      <c r="AI44" s="22" t="s">
        <v>119</v>
      </c>
      <c r="AM44" s="91">
        <f>IF(ISBLANK(B44),1,2)</f>
        <v>1</v>
      </c>
      <c r="AN44" s="91">
        <f>IF(AND(ISBLANK(AE44),ISBLANK(AH44)),0,1)</f>
        <v>0</v>
      </c>
      <c r="AO44" s="91">
        <f>IF(AND(ISBLANK(AE44),LEN(AH44)&gt;0),2,1)</f>
        <v>1</v>
      </c>
      <c r="AP44" s="91">
        <f>IF(ISBLANK(AE44),1,IF(ISBLANK(AH44),2,3))</f>
        <v>1</v>
      </c>
      <c r="AR44" s="20"/>
      <c r="AS44" s="17"/>
      <c r="AT44" s="59"/>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20"/>
      <c r="BV44" s="20"/>
      <c r="BW44" s="20"/>
      <c r="BX44" s="20"/>
      <c r="BY44" s="20"/>
      <c r="BZ44" s="20"/>
      <c r="CA44" s="20"/>
      <c r="CB44" s="20"/>
      <c r="CC44" s="20"/>
      <c r="CD44" s="20"/>
      <c r="CE44" s="20"/>
      <c r="CF44" s="20"/>
      <c r="CG44" s="20"/>
      <c r="CH44" s="20"/>
      <c r="CI44" s="20"/>
      <c r="CJ44" s="20"/>
    </row>
    <row r="45" spans="2:88" ht="4.95" customHeight="1" x14ac:dyDescent="0.3">
      <c r="C45" s="4"/>
      <c r="F45" s="36"/>
      <c r="G45" s="36"/>
      <c r="K45" s="112"/>
      <c r="L45" s="112"/>
      <c r="M45" s="112"/>
      <c r="N45" s="13"/>
      <c r="O45" s="13"/>
      <c r="R45" s="112"/>
      <c r="S45" s="112"/>
      <c r="T45" s="112"/>
      <c r="U45" s="13"/>
      <c r="V45" s="13"/>
      <c r="Y45" s="112"/>
      <c r="Z45" s="112"/>
      <c r="AA45" s="112"/>
      <c r="AE45" s="113"/>
      <c r="AH45" s="113"/>
      <c r="AM45" s="16">
        <f t="shared" si="0"/>
        <v>0</v>
      </c>
      <c r="AR45" s="20"/>
      <c r="AS45" s="17"/>
      <c r="AT45" s="59"/>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20"/>
      <c r="BV45" s="20"/>
      <c r="BW45" s="20"/>
      <c r="BX45" s="20"/>
      <c r="BY45" s="20"/>
      <c r="BZ45" s="20"/>
      <c r="CA45" s="20"/>
      <c r="CB45" s="20"/>
      <c r="CC45" s="20"/>
      <c r="CD45" s="20"/>
      <c r="CE45" s="20"/>
      <c r="CF45" s="20"/>
      <c r="CG45" s="20"/>
      <c r="CH45" s="20"/>
      <c r="CI45" s="20"/>
      <c r="CJ45" s="20"/>
    </row>
    <row r="46" spans="2:88" ht="15" customHeight="1" x14ac:dyDescent="0.3">
      <c r="B46" s="230"/>
      <c r="C46" s="230"/>
      <c r="D46" s="230"/>
      <c r="F46" s="230"/>
      <c r="G46" s="230"/>
      <c r="H46" s="230"/>
      <c r="K46" s="231"/>
      <c r="L46" s="231"/>
      <c r="M46" s="231"/>
      <c r="N46" s="185" t="str">
        <f>IF($AQ$10=0,"Units?",IF($AQ$10=1,"ac",IF($AQ$10=2,"sq-ft","Error")))</f>
        <v>Units?</v>
      </c>
      <c r="O46" s="185"/>
      <c r="R46" s="231"/>
      <c r="S46" s="231"/>
      <c r="T46" s="231"/>
      <c r="U46" s="185" t="str">
        <f>IF($AQ$10=0,"Units?",IF($AQ$10=1,"ac",IF($AQ$10=2,"sq-ft","Error")))</f>
        <v>Units?</v>
      </c>
      <c r="V46" s="185"/>
      <c r="Y46" s="231"/>
      <c r="Z46" s="231"/>
      <c r="AA46" s="231"/>
      <c r="AB46" s="185" t="str">
        <f>IF($AQ$10=0,"Units?",IF($AQ$10=1,"ac",IF($AQ$10=2,"sq-ft","Error")))</f>
        <v>Units?</v>
      </c>
      <c r="AC46" s="185"/>
      <c r="AE46" s="51"/>
      <c r="AF46" s="22" t="s">
        <v>118</v>
      </c>
      <c r="AH46" s="51"/>
      <c r="AI46" s="22" t="s">
        <v>119</v>
      </c>
      <c r="AM46" s="91">
        <f>IF(ISBLANK(B46),1,2)</f>
        <v>1</v>
      </c>
      <c r="AN46" s="91">
        <f>IF(AND(ISBLANK(AE46),ISBLANK(AH46)),0,1)</f>
        <v>0</v>
      </c>
      <c r="AO46" s="91">
        <f>IF(AND(ISBLANK(AE46),LEN(AH46)&gt;0),2,1)</f>
        <v>1</v>
      </c>
      <c r="AP46" s="91">
        <f>IF(ISBLANK(AE46),1,IF(ISBLANK(AH46),2,3))</f>
        <v>1</v>
      </c>
      <c r="AR46" s="20"/>
      <c r="AS46" s="17"/>
      <c r="AT46" s="59"/>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20"/>
      <c r="BV46" s="20"/>
      <c r="BW46" s="20"/>
      <c r="BX46" s="20"/>
      <c r="BY46" s="20"/>
      <c r="BZ46" s="20"/>
      <c r="CA46" s="20"/>
      <c r="CB46" s="20"/>
      <c r="CC46" s="20"/>
      <c r="CD46" s="20"/>
      <c r="CE46" s="20"/>
      <c r="CF46" s="20"/>
      <c r="CG46" s="20"/>
      <c r="CH46" s="20"/>
      <c r="CI46" s="20"/>
      <c r="CJ46" s="20"/>
    </row>
    <row r="47" spans="2:88" ht="4.95" customHeight="1" x14ac:dyDescent="0.3">
      <c r="C47" s="4"/>
      <c r="F47" s="36"/>
      <c r="G47" s="36"/>
      <c r="K47" s="112"/>
      <c r="L47" s="112"/>
      <c r="M47" s="112"/>
      <c r="N47" s="13"/>
      <c r="O47" s="13"/>
      <c r="R47" s="112"/>
      <c r="S47" s="112"/>
      <c r="T47" s="112"/>
      <c r="U47" s="13"/>
      <c r="V47" s="13"/>
      <c r="Y47" s="112"/>
      <c r="Z47" s="112"/>
      <c r="AA47" s="112"/>
      <c r="AE47" s="113"/>
      <c r="AH47" s="113"/>
      <c r="AM47" s="16">
        <f t="shared" si="0"/>
        <v>0</v>
      </c>
      <c r="AR47" s="20"/>
      <c r="AS47" s="17"/>
      <c r="AT47" s="59"/>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20"/>
      <c r="BV47" s="20"/>
      <c r="BW47" s="20"/>
      <c r="BX47" s="20"/>
      <c r="BY47" s="20"/>
      <c r="BZ47" s="20"/>
      <c r="CA47" s="20"/>
      <c r="CB47" s="20"/>
      <c r="CC47" s="20"/>
      <c r="CD47" s="20"/>
      <c r="CE47" s="20"/>
      <c r="CF47" s="20"/>
      <c r="CG47" s="20"/>
      <c r="CH47" s="20"/>
      <c r="CI47" s="20"/>
      <c r="CJ47" s="20"/>
    </row>
    <row r="48" spans="2:88" ht="15" customHeight="1" x14ac:dyDescent="0.3">
      <c r="B48" s="230"/>
      <c r="C48" s="230"/>
      <c r="D48" s="230"/>
      <c r="F48" s="230"/>
      <c r="G48" s="230"/>
      <c r="H48" s="230"/>
      <c r="K48" s="231"/>
      <c r="L48" s="231"/>
      <c r="M48" s="231"/>
      <c r="N48" s="185" t="str">
        <f>IF($AQ$10=0,"Units?",IF($AQ$10=1,"ac",IF($AQ$10=2,"sq-ft","Error")))</f>
        <v>Units?</v>
      </c>
      <c r="O48" s="185"/>
      <c r="R48" s="231"/>
      <c r="S48" s="231"/>
      <c r="T48" s="231"/>
      <c r="U48" s="185" t="str">
        <f>IF($AQ$10=0,"Units?",IF($AQ$10=1,"ac",IF($AQ$10=2,"sq-ft","Error")))</f>
        <v>Units?</v>
      </c>
      <c r="V48" s="185"/>
      <c r="Y48" s="231"/>
      <c r="Z48" s="231"/>
      <c r="AA48" s="231"/>
      <c r="AB48" s="185" t="str">
        <f>IF($AQ$10=0,"Units?",IF($AQ$10=1,"ac",IF($AQ$10=2,"sq-ft","Error")))</f>
        <v>Units?</v>
      </c>
      <c r="AC48" s="185"/>
      <c r="AE48" s="51"/>
      <c r="AF48" s="22" t="s">
        <v>118</v>
      </c>
      <c r="AH48" s="51"/>
      <c r="AI48" s="22" t="s">
        <v>119</v>
      </c>
      <c r="AM48" s="91">
        <f>IF(ISBLANK(B48),1,2)</f>
        <v>1</v>
      </c>
      <c r="AN48" s="91">
        <f>IF(AND(ISBLANK(AE48),ISBLANK(AH48)),0,1)</f>
        <v>0</v>
      </c>
      <c r="AO48" s="91">
        <f>IF(AND(ISBLANK(AE48),LEN(AH48)&gt;0),2,1)</f>
        <v>1</v>
      </c>
      <c r="AP48" s="91">
        <f>IF(ISBLANK(AE48),1,IF(ISBLANK(AH48),2,3))</f>
        <v>1</v>
      </c>
      <c r="AR48" s="20"/>
      <c r="AS48" s="17"/>
      <c r="AT48" s="59"/>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20"/>
      <c r="BV48" s="20"/>
      <c r="BW48" s="20"/>
      <c r="BX48" s="20"/>
      <c r="BY48" s="20"/>
      <c r="BZ48" s="20"/>
      <c r="CA48" s="20"/>
      <c r="CB48" s="20"/>
      <c r="CC48" s="20"/>
      <c r="CD48" s="20"/>
      <c r="CE48" s="20"/>
      <c r="CF48" s="20"/>
      <c r="CG48" s="20"/>
      <c r="CH48" s="20"/>
      <c r="CI48" s="20"/>
      <c r="CJ48" s="20"/>
    </row>
    <row r="49" spans="2:88" ht="4.95" customHeight="1" x14ac:dyDescent="0.3">
      <c r="C49" s="4"/>
      <c r="F49" s="36"/>
      <c r="G49" s="36"/>
      <c r="K49" s="112"/>
      <c r="L49" s="112"/>
      <c r="M49" s="112"/>
      <c r="N49" s="13"/>
      <c r="O49" s="13"/>
      <c r="R49" s="112"/>
      <c r="S49" s="112"/>
      <c r="T49" s="112"/>
      <c r="U49" s="13"/>
      <c r="V49" s="13"/>
      <c r="Y49" s="112"/>
      <c r="Z49" s="112"/>
      <c r="AA49" s="112"/>
      <c r="AE49" s="113"/>
      <c r="AH49" s="113"/>
      <c r="AM49" s="16">
        <f t="shared" si="0"/>
        <v>0</v>
      </c>
      <c r="AR49" s="20"/>
      <c r="AS49" s="17"/>
      <c r="AT49" s="59"/>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20"/>
      <c r="BV49" s="20"/>
      <c r="BW49" s="20"/>
      <c r="BX49" s="20"/>
      <c r="BY49" s="20"/>
      <c r="BZ49" s="20"/>
      <c r="CA49" s="20"/>
      <c r="CB49" s="20"/>
      <c r="CC49" s="20"/>
      <c r="CD49" s="20"/>
      <c r="CE49" s="20"/>
      <c r="CF49" s="20"/>
      <c r="CG49" s="20"/>
      <c r="CH49" s="20"/>
      <c r="CI49" s="20"/>
      <c r="CJ49" s="20"/>
    </row>
    <row r="50" spans="2:88" ht="15" customHeight="1" x14ac:dyDescent="0.3">
      <c r="B50" s="230"/>
      <c r="C50" s="230"/>
      <c r="D50" s="230"/>
      <c r="F50" s="230"/>
      <c r="G50" s="230"/>
      <c r="H50" s="230"/>
      <c r="K50" s="231"/>
      <c r="L50" s="231"/>
      <c r="M50" s="231"/>
      <c r="N50" s="185" t="str">
        <f>IF($AQ$10=0,"Units?",IF($AQ$10=1,"ac",IF($AQ$10=2,"sq-ft","Error")))</f>
        <v>Units?</v>
      </c>
      <c r="O50" s="185"/>
      <c r="R50" s="231"/>
      <c r="S50" s="231"/>
      <c r="T50" s="231"/>
      <c r="U50" s="185" t="str">
        <f>IF($AQ$10=0,"Units?",IF($AQ$10=1,"ac",IF($AQ$10=2,"sq-ft","Error")))</f>
        <v>Units?</v>
      </c>
      <c r="V50" s="185"/>
      <c r="Y50" s="231"/>
      <c r="Z50" s="231"/>
      <c r="AA50" s="231"/>
      <c r="AB50" s="185" t="str">
        <f>IF($AQ$10=0,"Units?",IF($AQ$10=1,"ac",IF($AQ$10=2,"sq-ft","Error")))</f>
        <v>Units?</v>
      </c>
      <c r="AC50" s="185"/>
      <c r="AE50" s="51"/>
      <c r="AF50" s="22" t="s">
        <v>118</v>
      </c>
      <c r="AH50" s="51"/>
      <c r="AI50" s="22" t="s">
        <v>119</v>
      </c>
      <c r="AM50" s="91">
        <f>IF(ISBLANK(B50),1,2)</f>
        <v>1</v>
      </c>
      <c r="AN50" s="91">
        <f>IF(AND(ISBLANK(AE50),ISBLANK(AH50)),0,1)</f>
        <v>0</v>
      </c>
      <c r="AO50" s="91">
        <f>IF(AND(ISBLANK(AE50),LEN(AH50)&gt;0),2,1)</f>
        <v>1</v>
      </c>
      <c r="AP50" s="91">
        <f>IF(ISBLANK(AE50),1,IF(ISBLANK(AH50),2,3))</f>
        <v>1</v>
      </c>
      <c r="AR50" s="20"/>
      <c r="AS50" s="17"/>
      <c r="AT50" s="59"/>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20"/>
      <c r="BV50" s="20"/>
      <c r="BW50" s="20"/>
      <c r="BX50" s="20"/>
      <c r="BY50" s="20"/>
      <c r="BZ50" s="20"/>
      <c r="CA50" s="20"/>
      <c r="CB50" s="20"/>
      <c r="CC50" s="20"/>
      <c r="CD50" s="20"/>
      <c r="CE50" s="20"/>
      <c r="CF50" s="20"/>
      <c r="CG50" s="20"/>
      <c r="CH50" s="20"/>
      <c r="CI50" s="20"/>
      <c r="CJ50" s="20"/>
    </row>
    <row r="51" spans="2:88" ht="4.95" customHeight="1" x14ac:dyDescent="0.3">
      <c r="C51" s="4"/>
      <c r="F51" s="36"/>
      <c r="G51" s="36"/>
      <c r="K51" s="112"/>
      <c r="L51" s="112"/>
      <c r="M51" s="112"/>
      <c r="N51" s="13"/>
      <c r="O51" s="13"/>
      <c r="R51" s="112"/>
      <c r="S51" s="112"/>
      <c r="T51" s="112"/>
      <c r="U51" s="13"/>
      <c r="V51" s="13"/>
      <c r="Y51" s="112"/>
      <c r="Z51" s="112"/>
      <c r="AA51" s="112"/>
      <c r="AE51" s="113"/>
      <c r="AH51" s="113"/>
      <c r="AM51" s="16">
        <f t="shared" si="0"/>
        <v>0</v>
      </c>
      <c r="AR51" s="20"/>
      <c r="AS51" s="17"/>
      <c r="AT51" s="59"/>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20"/>
      <c r="BV51" s="20"/>
      <c r="BW51" s="20"/>
      <c r="BX51" s="20"/>
      <c r="BY51" s="20"/>
      <c r="BZ51" s="20"/>
      <c r="CA51" s="20"/>
      <c r="CB51" s="20"/>
      <c r="CC51" s="20"/>
      <c r="CD51" s="20"/>
      <c r="CE51" s="20"/>
      <c r="CF51" s="20"/>
      <c r="CG51" s="20"/>
      <c r="CH51" s="20"/>
      <c r="CI51" s="20"/>
      <c r="CJ51" s="20"/>
    </row>
    <row r="52" spans="2:88" ht="15" customHeight="1" x14ac:dyDescent="0.3">
      <c r="B52" s="230"/>
      <c r="C52" s="230"/>
      <c r="D52" s="230"/>
      <c r="F52" s="230"/>
      <c r="G52" s="230"/>
      <c r="H52" s="230"/>
      <c r="K52" s="231"/>
      <c r="L52" s="231"/>
      <c r="M52" s="231"/>
      <c r="N52" s="185" t="str">
        <f>IF($AQ$10=0,"Units?",IF($AQ$10=1,"ac",IF($AQ$10=2,"sq-ft","Error")))</f>
        <v>Units?</v>
      </c>
      <c r="O52" s="185"/>
      <c r="R52" s="231"/>
      <c r="S52" s="231"/>
      <c r="T52" s="231"/>
      <c r="U52" s="185" t="str">
        <f>IF($AQ$10=0,"Units?",IF($AQ$10=1,"ac",IF($AQ$10=2,"sq-ft","Error")))</f>
        <v>Units?</v>
      </c>
      <c r="V52" s="185"/>
      <c r="Y52" s="231"/>
      <c r="Z52" s="231"/>
      <c r="AA52" s="231"/>
      <c r="AB52" s="185" t="str">
        <f>IF($AQ$10=0,"Units?",IF($AQ$10=1,"ac",IF($AQ$10=2,"sq-ft","Error")))</f>
        <v>Units?</v>
      </c>
      <c r="AC52" s="185"/>
      <c r="AE52" s="51"/>
      <c r="AF52" s="22" t="s">
        <v>118</v>
      </c>
      <c r="AH52" s="51"/>
      <c r="AI52" s="22" t="s">
        <v>119</v>
      </c>
      <c r="AM52" s="91">
        <f>IF(ISBLANK(B52),1,2)</f>
        <v>1</v>
      </c>
      <c r="AN52" s="91">
        <f>IF(AND(ISBLANK(AE52),ISBLANK(AH52)),0,1)</f>
        <v>0</v>
      </c>
      <c r="AO52" s="91">
        <f>IF(AND(ISBLANK(AE52),LEN(AH52)&gt;0),2,1)</f>
        <v>1</v>
      </c>
      <c r="AP52" s="91">
        <f>IF(ISBLANK(AE52),1,IF(ISBLANK(AH52),2,3))</f>
        <v>1</v>
      </c>
      <c r="AR52" s="20"/>
      <c r="AS52" s="17"/>
      <c r="AT52" s="59"/>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20"/>
      <c r="BV52" s="20"/>
      <c r="BW52" s="20"/>
      <c r="BX52" s="20"/>
      <c r="BY52" s="20"/>
      <c r="BZ52" s="20"/>
      <c r="CA52" s="20"/>
      <c r="CB52" s="20"/>
      <c r="CC52" s="20"/>
      <c r="CD52" s="20"/>
      <c r="CE52" s="20"/>
      <c r="CF52" s="20"/>
      <c r="CG52" s="20"/>
      <c r="CH52" s="20"/>
      <c r="CI52" s="20"/>
      <c r="CJ52" s="20"/>
    </row>
    <row r="53" spans="2:88" ht="4.95" customHeight="1" x14ac:dyDescent="0.3">
      <c r="AR53" s="20"/>
      <c r="AS53" s="17"/>
      <c r="AT53" s="59"/>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20"/>
      <c r="BV53" s="20"/>
      <c r="BW53" s="20"/>
      <c r="BX53" s="20"/>
      <c r="BY53" s="20"/>
      <c r="BZ53" s="20"/>
      <c r="CA53" s="20"/>
      <c r="CB53" s="20"/>
      <c r="CC53" s="20"/>
      <c r="CD53" s="20"/>
      <c r="CE53" s="20"/>
      <c r="CF53" s="20"/>
      <c r="CG53" s="20"/>
      <c r="CH53" s="20"/>
      <c r="CI53" s="20"/>
      <c r="CJ53" s="20"/>
    </row>
    <row r="54" spans="2:88" ht="15" customHeight="1" x14ac:dyDescent="0.3">
      <c r="J54" s="2" t="s">
        <v>354</v>
      </c>
      <c r="K54" s="232">
        <f>SUM(J24:M52)</f>
        <v>0</v>
      </c>
      <c r="L54" s="232"/>
      <c r="M54" s="232"/>
      <c r="N54" s="185" t="str">
        <f>IF($AQ$10=0,"Units?",IF($AQ$10=1,"ac",IF($AQ$10=2,"sq-ft","Error")))</f>
        <v>Units?</v>
      </c>
      <c r="O54" s="185"/>
      <c r="Q54" s="2" t="s">
        <v>354</v>
      </c>
      <c r="R54" s="233">
        <f>IF(ISERR(SUM(R24:T52)),0,SUM(R24:T52))</f>
        <v>0</v>
      </c>
      <c r="S54" s="233"/>
      <c r="T54" s="233"/>
      <c r="U54" s="185" t="str">
        <f>IF($AQ$10=0,"Units?",IF($AQ$10=1,"ac",IF($AQ$10=2,"sq-ft","Error")))</f>
        <v>Units?</v>
      </c>
      <c r="V54" s="185"/>
      <c r="X54" s="2" t="s">
        <v>354</v>
      </c>
      <c r="Y54" s="233">
        <f>IF(ISERR(SUM(Y24:AA52)),0,SUM(Y24:AA52))</f>
        <v>0</v>
      </c>
      <c r="Z54" s="233"/>
      <c r="AA54" s="233"/>
      <c r="AB54" s="185" t="str">
        <f>IF($AQ$10=0,"Units?",IF($AQ$10=1,"ac",IF($AQ$10=2,"sq-ft","Error")))</f>
        <v>Units?</v>
      </c>
      <c r="AC54" s="185"/>
      <c r="AR54" s="20"/>
      <c r="AS54" s="17"/>
      <c r="AT54" s="59"/>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20"/>
      <c r="BV54" s="20"/>
      <c r="BW54" s="20"/>
      <c r="BX54" s="20"/>
      <c r="BY54" s="20"/>
      <c r="BZ54" s="20"/>
      <c r="CA54" s="20"/>
      <c r="CB54" s="20"/>
      <c r="CC54" s="20"/>
      <c r="CD54" s="20"/>
      <c r="CE54" s="20"/>
      <c r="CF54" s="20"/>
      <c r="CG54" s="20"/>
      <c r="CH54" s="20"/>
      <c r="CI54" s="20"/>
      <c r="CJ54" s="20"/>
    </row>
    <row r="55" spans="2:88" ht="15" customHeight="1" x14ac:dyDescent="0.3">
      <c r="R55" s="240">
        <f>IF(ISERR(R54/$K54),0,R54/$K54*100)</f>
        <v>0</v>
      </c>
      <c r="S55" s="240"/>
      <c r="T55" s="240"/>
      <c r="U55" s="22" t="s">
        <v>353</v>
      </c>
      <c r="Y55" s="240">
        <f>IF(ISERR(Y54/$K54),0,Y54/$K54*100)</f>
        <v>0</v>
      </c>
      <c r="Z55" s="240"/>
      <c r="AA55" s="240"/>
      <c r="AB55" s="22" t="s">
        <v>353</v>
      </c>
      <c r="AR55" s="20"/>
      <c r="AS55" s="17"/>
      <c r="AT55" s="59"/>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20"/>
      <c r="BV55" s="20"/>
      <c r="BW55" s="20"/>
      <c r="BX55" s="20"/>
      <c r="BY55" s="20"/>
      <c r="BZ55" s="20"/>
      <c r="CA55" s="20"/>
      <c r="CB55" s="20"/>
      <c r="CC55" s="20"/>
      <c r="CD55" s="20"/>
      <c r="CE55" s="20"/>
      <c r="CF55" s="20"/>
      <c r="CG55" s="20"/>
      <c r="CH55" s="20"/>
      <c r="CI55" s="20"/>
      <c r="CJ55" s="20"/>
    </row>
    <row r="56" spans="2:88" ht="15" customHeight="1" x14ac:dyDescent="0.3">
      <c r="AR56" s="20"/>
      <c r="AS56" s="17"/>
      <c r="AT56" s="59"/>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20"/>
      <c r="BV56" s="20"/>
      <c r="BW56" s="20"/>
      <c r="BX56" s="20"/>
      <c r="BY56" s="20"/>
      <c r="BZ56" s="20"/>
      <c r="CA56" s="20"/>
      <c r="CB56" s="20"/>
      <c r="CC56" s="20"/>
      <c r="CD56" s="20"/>
      <c r="CE56" s="20"/>
      <c r="CF56" s="20"/>
      <c r="CG56" s="20"/>
      <c r="CH56" s="20"/>
      <c r="CI56" s="20"/>
      <c r="CJ56" s="20"/>
    </row>
    <row r="57" spans="2:88" ht="15" customHeight="1" x14ac:dyDescent="0.3">
      <c r="AR57" s="20"/>
      <c r="AS57" s="17"/>
      <c r="AT57" s="59"/>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20"/>
      <c r="BV57" s="20"/>
      <c r="BW57" s="20"/>
      <c r="BX57" s="20"/>
      <c r="BY57" s="20"/>
      <c r="BZ57" s="20"/>
      <c r="CA57" s="20"/>
      <c r="CB57" s="20"/>
      <c r="CC57" s="20"/>
      <c r="CD57" s="20"/>
      <c r="CE57" s="20"/>
      <c r="CF57" s="20"/>
      <c r="CG57" s="20"/>
      <c r="CH57" s="20"/>
      <c r="CI57" s="20"/>
      <c r="CJ57" s="20"/>
    </row>
    <row r="58" spans="2:88" ht="15" customHeight="1" x14ac:dyDescent="0.3">
      <c r="AR58" s="20"/>
      <c r="AS58" s="17"/>
      <c r="AT58" s="59"/>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20"/>
      <c r="BV58" s="20"/>
      <c r="BW58" s="20"/>
      <c r="BX58" s="20"/>
      <c r="BY58" s="20"/>
      <c r="BZ58" s="20"/>
      <c r="CA58" s="20"/>
      <c r="CB58" s="20"/>
      <c r="CC58" s="20"/>
      <c r="CD58" s="20"/>
      <c r="CE58" s="20"/>
      <c r="CF58" s="20"/>
      <c r="CG58" s="20"/>
      <c r="CH58" s="20"/>
      <c r="CI58" s="20"/>
      <c r="CJ58" s="20"/>
    </row>
    <row r="59" spans="2:88" ht="15" customHeight="1" x14ac:dyDescent="0.3">
      <c r="AR59" s="20"/>
      <c r="AS59" s="17"/>
      <c r="AT59" s="59"/>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20"/>
      <c r="BV59" s="20"/>
      <c r="BW59" s="20"/>
      <c r="BX59" s="20"/>
      <c r="BY59" s="20"/>
      <c r="BZ59" s="20"/>
      <c r="CA59" s="20"/>
      <c r="CB59" s="20"/>
      <c r="CC59" s="20"/>
      <c r="CD59" s="20"/>
      <c r="CE59" s="20"/>
      <c r="CF59" s="20"/>
      <c r="CG59" s="20"/>
      <c r="CH59" s="20"/>
      <c r="CI59" s="20"/>
      <c r="CJ59" s="20"/>
    </row>
    <row r="60" spans="2:88" ht="15" customHeight="1" x14ac:dyDescent="0.3">
      <c r="AR60" s="20"/>
      <c r="AS60" s="17"/>
      <c r="AT60" s="59"/>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20"/>
      <c r="BV60" s="20"/>
      <c r="BW60" s="20"/>
      <c r="BX60" s="20"/>
      <c r="BY60" s="20"/>
      <c r="BZ60" s="20"/>
      <c r="CA60" s="20"/>
      <c r="CB60" s="20"/>
      <c r="CC60" s="20"/>
      <c r="CD60" s="20"/>
      <c r="CE60" s="20"/>
      <c r="CF60" s="20"/>
      <c r="CG60" s="20"/>
      <c r="CH60" s="20"/>
      <c r="CI60" s="20"/>
      <c r="CJ60" s="20"/>
    </row>
    <row r="61" spans="2:88" ht="15" customHeight="1" x14ac:dyDescent="0.3">
      <c r="AR61" s="20"/>
      <c r="AS61" s="17"/>
      <c r="AT61" s="59"/>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20"/>
      <c r="BV61" s="20"/>
      <c r="BW61" s="20"/>
      <c r="BX61" s="20"/>
      <c r="BY61" s="20"/>
      <c r="BZ61" s="20"/>
      <c r="CA61" s="20"/>
      <c r="CB61" s="20"/>
      <c r="CC61" s="20"/>
      <c r="CD61" s="20"/>
      <c r="CE61" s="20"/>
      <c r="CF61" s="20"/>
      <c r="CG61" s="20"/>
      <c r="CH61" s="20"/>
      <c r="CI61" s="20"/>
      <c r="CJ61" s="20"/>
    </row>
    <row r="62" spans="2:88" ht="15" customHeight="1" x14ac:dyDescent="0.3">
      <c r="B62" s="203">
        <f>Tables!$F$13</f>
        <v>45931</v>
      </c>
      <c r="C62" s="203"/>
      <c r="D62" s="203"/>
      <c r="E62" s="203"/>
      <c r="F62" s="203"/>
      <c r="G62" s="203"/>
      <c r="H62" s="203"/>
      <c r="R62" s="189" t="s">
        <v>355</v>
      </c>
      <c r="S62" s="189"/>
      <c r="T62" s="189"/>
      <c r="U62" s="189"/>
      <c r="AR62" s="20"/>
      <c r="AS62" s="17"/>
      <c r="AT62" s="59"/>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20"/>
      <c r="BV62" s="20"/>
      <c r="BW62" s="20"/>
      <c r="BX62" s="20"/>
      <c r="BY62" s="20"/>
      <c r="BZ62" s="20"/>
      <c r="CA62" s="20"/>
      <c r="CB62" s="20"/>
      <c r="CC62" s="20"/>
      <c r="CD62" s="20"/>
      <c r="CE62" s="20"/>
      <c r="CF62" s="20"/>
      <c r="CG62" s="20"/>
      <c r="CH62" s="20"/>
      <c r="CI62" s="20"/>
      <c r="CJ62" s="20"/>
    </row>
    <row r="63" spans="2:88" ht="15" customHeight="1" x14ac:dyDescent="0.3">
      <c r="B63" s="115"/>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R63" s="20"/>
      <c r="AS63" s="17"/>
      <c r="AT63" s="59"/>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20"/>
      <c r="BV63" s="20"/>
      <c r="BW63" s="20"/>
      <c r="BX63" s="20"/>
      <c r="BY63" s="20"/>
      <c r="BZ63" s="20"/>
      <c r="CA63" s="20"/>
      <c r="CB63" s="20"/>
      <c r="CC63" s="20"/>
      <c r="CD63" s="20"/>
      <c r="CE63" s="20"/>
      <c r="CF63" s="20"/>
      <c r="CG63" s="20"/>
      <c r="CH63" s="20"/>
      <c r="CI63" s="20"/>
      <c r="CJ63" s="20"/>
    </row>
    <row r="64" spans="2:88" ht="15" customHeight="1" x14ac:dyDescent="0.3">
      <c r="C64" s="2" t="s">
        <v>129</v>
      </c>
      <c r="D64" s="210">
        <f>IF(ISBLANK($E$7),0,$E$7)</f>
        <v>0</v>
      </c>
      <c r="E64" s="210"/>
      <c r="F64" s="210"/>
      <c r="G64" s="210"/>
      <c r="H64" s="210"/>
      <c r="I64" s="210"/>
      <c r="J64" s="210"/>
      <c r="K64" s="210"/>
      <c r="L64" s="210"/>
      <c r="M64" s="210"/>
      <c r="N64" s="210"/>
      <c r="O64" s="210"/>
      <c r="P64" s="210"/>
      <c r="Q64" s="210"/>
      <c r="R64" s="210"/>
      <c r="S64" s="210"/>
      <c r="T64" s="210"/>
      <c r="U64" s="210"/>
      <c r="V64" s="210"/>
      <c r="W64" s="210"/>
      <c r="X64" s="210"/>
      <c r="Y64" s="210"/>
      <c r="AD64" s="2" t="s">
        <v>193</v>
      </c>
      <c r="AE64" s="187">
        <f>IF(ISBLANK($AE$7),0,$AE$7)</f>
        <v>0</v>
      </c>
      <c r="AF64" s="187"/>
      <c r="AG64" s="187"/>
      <c r="AH64" s="187"/>
      <c r="AI64" s="187"/>
      <c r="AJ64" s="187"/>
      <c r="AR64" s="20"/>
      <c r="AS64" s="17"/>
      <c r="AT64" s="59"/>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20"/>
      <c r="BV64" s="20"/>
      <c r="BW64" s="20"/>
      <c r="BX64" s="20"/>
      <c r="BY64" s="20"/>
      <c r="BZ64" s="20"/>
      <c r="CA64" s="20"/>
      <c r="CB64" s="20"/>
      <c r="CC64" s="20"/>
      <c r="CD64" s="20"/>
      <c r="CE64" s="20"/>
      <c r="CF64" s="20"/>
      <c r="CG64" s="20"/>
      <c r="CH64" s="20"/>
      <c r="CI64" s="20"/>
      <c r="CJ64" s="20"/>
    </row>
    <row r="65" spans="2:88" ht="15" customHeight="1" x14ac:dyDescent="0.3">
      <c r="B65" s="5"/>
      <c r="AR65" s="20"/>
      <c r="AS65" s="17"/>
      <c r="AT65" s="59"/>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20"/>
      <c r="BV65" s="20"/>
      <c r="BW65" s="20"/>
      <c r="BX65" s="20"/>
      <c r="BY65" s="20"/>
      <c r="BZ65" s="20"/>
      <c r="CA65" s="20"/>
      <c r="CB65" s="20"/>
      <c r="CC65" s="20"/>
      <c r="CD65" s="20"/>
      <c r="CE65" s="20"/>
      <c r="CF65" s="20"/>
      <c r="CG65" s="20"/>
      <c r="CH65" s="20"/>
      <c r="CI65" s="20"/>
      <c r="CJ65" s="20"/>
    </row>
    <row r="66" spans="2:88" ht="15" customHeight="1" x14ac:dyDescent="0.3">
      <c r="B66" s="5" t="s">
        <v>20</v>
      </c>
      <c r="AR66" s="20"/>
      <c r="AS66" s="17"/>
      <c r="AT66" s="59"/>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20"/>
      <c r="BV66" s="20"/>
      <c r="BW66" s="20"/>
      <c r="BX66" s="20"/>
      <c r="BY66" s="20"/>
      <c r="BZ66" s="20"/>
      <c r="CA66" s="20"/>
      <c r="CB66" s="20"/>
      <c r="CC66" s="20"/>
      <c r="CD66" s="20"/>
      <c r="CE66" s="20"/>
      <c r="CF66" s="20"/>
      <c r="CG66" s="20"/>
      <c r="CH66" s="20"/>
      <c r="CI66" s="20"/>
      <c r="CJ66" s="20"/>
    </row>
    <row r="67" spans="2:88" ht="15" customHeight="1" x14ac:dyDescent="0.3">
      <c r="B67" s="193"/>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5"/>
      <c r="AM67" s="91">
        <f>IF(SUM(AO16,AO18,AO20)&gt;0,2,1)</f>
        <v>1</v>
      </c>
      <c r="AR67" s="20"/>
      <c r="AS67" s="17"/>
      <c r="AT67" s="59"/>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20"/>
      <c r="BV67" s="20"/>
      <c r="BW67" s="20"/>
      <c r="BX67" s="20"/>
      <c r="BY67" s="20"/>
      <c r="BZ67" s="20"/>
      <c r="CA67" s="20"/>
      <c r="CB67" s="20"/>
      <c r="CC67" s="20"/>
      <c r="CD67" s="20"/>
      <c r="CE67" s="20"/>
      <c r="CF67" s="20"/>
      <c r="CG67" s="20"/>
      <c r="CH67" s="20"/>
      <c r="CI67" s="20"/>
      <c r="CJ67" s="20"/>
    </row>
    <row r="68" spans="2:88" ht="15" customHeight="1" x14ac:dyDescent="0.3">
      <c r="B68" s="196"/>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8"/>
      <c r="AR68" s="20"/>
      <c r="AS68" s="17"/>
      <c r="AT68" s="59"/>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20"/>
      <c r="BV68" s="20"/>
      <c r="BW68" s="20"/>
      <c r="BX68" s="20"/>
      <c r="BY68" s="20"/>
      <c r="BZ68" s="20"/>
      <c r="CA68" s="20"/>
      <c r="CB68" s="20"/>
      <c r="CC68" s="20"/>
      <c r="CD68" s="20"/>
      <c r="CE68" s="20"/>
      <c r="CF68" s="20"/>
      <c r="CG68" s="20"/>
      <c r="CH68" s="20"/>
      <c r="CI68" s="20"/>
      <c r="CJ68" s="20"/>
    </row>
    <row r="69" spans="2:88" ht="15" customHeight="1" x14ac:dyDescent="0.3">
      <c r="B69" s="196"/>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8"/>
      <c r="AR69" s="20"/>
      <c r="AS69" s="17"/>
      <c r="AT69" s="59"/>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20"/>
      <c r="BV69" s="20"/>
      <c r="BW69" s="20"/>
      <c r="BX69" s="20"/>
      <c r="BY69" s="20"/>
      <c r="BZ69" s="20"/>
      <c r="CA69" s="20"/>
      <c r="CB69" s="20"/>
      <c r="CC69" s="20"/>
      <c r="CD69" s="20"/>
      <c r="CE69" s="20"/>
      <c r="CF69" s="20"/>
      <c r="CG69" s="20"/>
      <c r="CH69" s="20"/>
      <c r="CI69" s="20"/>
      <c r="CJ69" s="20"/>
    </row>
    <row r="70" spans="2:88" ht="15" customHeight="1" x14ac:dyDescent="0.3">
      <c r="B70" s="196"/>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8"/>
      <c r="AR70" s="20"/>
      <c r="AS70" s="17"/>
      <c r="AT70" s="59"/>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20"/>
      <c r="BV70" s="20"/>
      <c r="BW70" s="20"/>
      <c r="BX70" s="20"/>
      <c r="BY70" s="20"/>
      <c r="BZ70" s="20"/>
      <c r="CA70" s="20"/>
      <c r="CB70" s="20"/>
      <c r="CC70" s="20"/>
      <c r="CD70" s="20"/>
      <c r="CE70" s="20"/>
      <c r="CF70" s="20"/>
      <c r="CG70" s="20"/>
      <c r="CH70" s="20"/>
      <c r="CI70" s="20"/>
      <c r="CJ70" s="20"/>
    </row>
    <row r="71" spans="2:88" ht="15" customHeight="1" x14ac:dyDescent="0.3">
      <c r="B71" s="196"/>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8"/>
      <c r="AR71" s="20"/>
      <c r="AS71" s="17"/>
      <c r="AT71" s="59"/>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20"/>
      <c r="BV71" s="20"/>
      <c r="BW71" s="20"/>
      <c r="BX71" s="20"/>
      <c r="BY71" s="20"/>
      <c r="BZ71" s="20"/>
      <c r="CA71" s="20"/>
      <c r="CB71" s="20"/>
      <c r="CC71" s="20"/>
      <c r="CD71" s="20"/>
      <c r="CE71" s="20"/>
      <c r="CF71" s="20"/>
      <c r="CG71" s="20"/>
      <c r="CH71" s="20"/>
      <c r="CI71" s="20"/>
      <c r="CJ71" s="20"/>
    </row>
    <row r="72" spans="2:88" ht="15" customHeight="1" x14ac:dyDescent="0.3">
      <c r="B72" s="199"/>
      <c r="C72" s="200"/>
      <c r="D72" s="200"/>
      <c r="E72" s="200"/>
      <c r="F72" s="200"/>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1"/>
      <c r="AR72" s="20"/>
      <c r="AS72" s="17"/>
      <c r="AT72" s="59"/>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20"/>
      <c r="BV72" s="20"/>
      <c r="BW72" s="20"/>
      <c r="BX72" s="20"/>
      <c r="BY72" s="20"/>
      <c r="BZ72" s="20"/>
      <c r="CA72" s="20"/>
      <c r="CB72" s="20"/>
      <c r="CC72" s="20"/>
      <c r="CD72" s="20"/>
      <c r="CE72" s="20"/>
      <c r="CF72" s="20"/>
      <c r="CG72" s="20"/>
      <c r="CH72" s="20"/>
      <c r="CI72" s="20"/>
      <c r="CJ72" s="20"/>
    </row>
    <row r="73" spans="2:88" ht="15" customHeight="1" x14ac:dyDescent="0.3">
      <c r="B73" s="5"/>
      <c r="AR73" s="20"/>
      <c r="AS73" s="17"/>
      <c r="AT73" s="59"/>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20"/>
      <c r="BV73" s="20"/>
      <c r="BW73" s="20"/>
      <c r="BX73" s="20"/>
      <c r="BY73" s="20"/>
      <c r="BZ73" s="20"/>
      <c r="CA73" s="20"/>
      <c r="CB73" s="20"/>
      <c r="CC73" s="20"/>
      <c r="CD73" s="20"/>
      <c r="CE73" s="20"/>
      <c r="CF73" s="20"/>
      <c r="CG73" s="20"/>
      <c r="CH73" s="20"/>
      <c r="CI73" s="20"/>
      <c r="CJ73" s="20"/>
    </row>
    <row r="74" spans="2:88" ht="15" customHeight="1" x14ac:dyDescent="0.3">
      <c r="B74" s="1" t="s">
        <v>17</v>
      </c>
      <c r="C74" s="1"/>
      <c r="D74" s="1"/>
      <c r="AR74" s="20"/>
      <c r="AS74" s="20"/>
      <c r="AT74" s="109"/>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row>
    <row r="75" spans="2:88" ht="4.95" customHeight="1" x14ac:dyDescent="0.3">
      <c r="B75" s="1"/>
      <c r="C75" s="1"/>
      <c r="D75" s="1"/>
      <c r="AR75" s="20"/>
      <c r="AS75" s="20"/>
      <c r="AT75" s="109"/>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row>
    <row r="76" spans="2:88" ht="15" customHeight="1" x14ac:dyDescent="0.3">
      <c r="B76" s="86" t="s">
        <v>358</v>
      </c>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R76" s="20"/>
      <c r="AS76" s="20"/>
      <c r="AT76" s="109"/>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row>
    <row r="77" spans="2:88" ht="15" customHeight="1" x14ac:dyDescent="0.3">
      <c r="B77" s="86" t="s">
        <v>359</v>
      </c>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R77" s="20"/>
      <c r="AS77" s="20"/>
      <c r="AT77" s="109"/>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row>
    <row r="78" spans="2:88" ht="15" customHeight="1" x14ac:dyDescent="0.3">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R78" s="20"/>
      <c r="AS78" s="20"/>
      <c r="AT78" s="109"/>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row>
    <row r="79" spans="2:88" ht="15" customHeight="1" x14ac:dyDescent="0.3">
      <c r="D79" s="2" t="s">
        <v>197</v>
      </c>
      <c r="E79" s="204"/>
      <c r="F79" s="204"/>
      <c r="G79" s="204"/>
      <c r="H79" s="204"/>
      <c r="I79" s="204"/>
      <c r="J79" s="204"/>
      <c r="K79" s="204"/>
      <c r="L79" s="204"/>
      <c r="M79" s="204"/>
      <c r="N79" s="204"/>
      <c r="O79" s="204"/>
      <c r="P79" s="204"/>
      <c r="Q79" s="204"/>
      <c r="R79" s="204"/>
      <c r="S79" s="204"/>
      <c r="T79" s="204"/>
      <c r="U79" s="204"/>
      <c r="V79" s="204"/>
      <c r="W79" s="204"/>
      <c r="X79" s="204"/>
      <c r="Y79" s="204"/>
      <c r="AB79" s="2" t="s">
        <v>316</v>
      </c>
      <c r="AC79" s="2"/>
      <c r="AD79" s="2"/>
      <c r="AE79" s="2"/>
      <c r="AR79" s="20"/>
      <c r="AS79" s="20"/>
      <c r="AT79" s="109"/>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row>
    <row r="80" spans="2:88" ht="15" customHeight="1" x14ac:dyDescent="0.3">
      <c r="D80" s="2" t="s">
        <v>129</v>
      </c>
      <c r="E80" s="205"/>
      <c r="F80" s="205"/>
      <c r="G80" s="205"/>
      <c r="H80" s="205"/>
      <c r="I80" s="205"/>
      <c r="J80" s="205"/>
      <c r="K80" s="205"/>
      <c r="L80" s="205"/>
      <c r="M80" s="205"/>
      <c r="N80" s="205"/>
      <c r="O80" s="205"/>
      <c r="P80" s="205"/>
      <c r="Q80" s="205"/>
      <c r="R80" s="205"/>
      <c r="S80" s="205"/>
      <c r="T80" s="205"/>
      <c r="U80" s="205"/>
      <c r="V80" s="205"/>
      <c r="W80" s="205"/>
      <c r="X80" s="205"/>
      <c r="Y80" s="205"/>
      <c r="AR80" s="20"/>
      <c r="AS80" s="20"/>
      <c r="AT80" s="109"/>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row>
    <row r="81" spans="3:88" ht="15" customHeight="1" x14ac:dyDescent="0.3">
      <c r="D81" s="2" t="s">
        <v>130</v>
      </c>
      <c r="E81" s="205"/>
      <c r="F81" s="205"/>
      <c r="G81" s="205"/>
      <c r="H81" s="205"/>
      <c r="I81" s="205"/>
      <c r="J81" s="205"/>
      <c r="K81" s="205"/>
      <c r="L81" s="205"/>
      <c r="M81" s="205"/>
      <c r="N81" s="205"/>
      <c r="O81" s="205"/>
      <c r="P81" s="205"/>
      <c r="Q81" s="205"/>
      <c r="R81" s="205"/>
      <c r="S81" s="205"/>
      <c r="T81" s="205"/>
      <c r="U81" s="205"/>
      <c r="V81" s="205"/>
      <c r="W81" s="205"/>
      <c r="X81" s="205"/>
      <c r="Y81" s="205"/>
      <c r="AR81" s="20"/>
      <c r="AS81" s="20"/>
      <c r="AT81" s="109"/>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row>
    <row r="82" spans="3:88" ht="15" customHeight="1" x14ac:dyDescent="0.3">
      <c r="D82" s="2" t="s">
        <v>269</v>
      </c>
      <c r="E82" s="205"/>
      <c r="F82" s="205"/>
      <c r="G82" s="205"/>
      <c r="H82" s="205"/>
      <c r="I82" s="205"/>
      <c r="J82" s="205"/>
      <c r="K82" s="205"/>
      <c r="L82" s="57"/>
      <c r="M82" s="57"/>
      <c r="N82" s="104" t="s">
        <v>133</v>
      </c>
      <c r="O82" s="205"/>
      <c r="P82" s="205"/>
      <c r="Q82" s="205"/>
      <c r="R82" s="205"/>
      <c r="S82" s="57"/>
      <c r="T82" s="57"/>
      <c r="U82" s="57"/>
      <c r="V82" s="104" t="s">
        <v>134</v>
      </c>
      <c r="W82" s="206"/>
      <c r="X82" s="206"/>
      <c r="Y82" s="206"/>
      <c r="AR82" s="20"/>
      <c r="AS82" s="20"/>
      <c r="AT82" s="109"/>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row>
    <row r="83" spans="3:88" ht="15" customHeight="1" x14ac:dyDescent="0.3">
      <c r="C83" s="58"/>
      <c r="D83" s="2" t="s">
        <v>131</v>
      </c>
      <c r="E83" s="207"/>
      <c r="F83" s="207"/>
      <c r="G83" s="207"/>
      <c r="H83" s="207"/>
      <c r="I83" s="207"/>
      <c r="J83" s="207"/>
      <c r="K83" s="207"/>
      <c r="L83" s="207"/>
      <c r="M83" s="207"/>
      <c r="N83" s="207"/>
      <c r="O83" s="207"/>
      <c r="P83" s="207"/>
      <c r="Q83" s="207"/>
      <c r="R83" s="207"/>
      <c r="S83" s="207"/>
      <c r="T83" s="207"/>
      <c r="U83" s="207"/>
      <c r="V83" s="207"/>
      <c r="W83" s="207"/>
      <c r="X83" s="207"/>
      <c r="Y83" s="207"/>
      <c r="AR83" s="20"/>
      <c r="AS83" s="20"/>
      <c r="AT83" s="109"/>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row>
    <row r="84" spans="3:88" ht="15" customHeight="1" x14ac:dyDescent="0.3">
      <c r="D84" s="2" t="s">
        <v>135</v>
      </c>
      <c r="E84" s="208"/>
      <c r="F84" s="208"/>
      <c r="G84" s="208"/>
      <c r="H84" s="208"/>
      <c r="I84" s="208"/>
      <c r="U84" s="49"/>
      <c r="V84" s="49"/>
      <c r="W84" s="49"/>
      <c r="AR84" s="20"/>
      <c r="AS84" s="20"/>
      <c r="AT84" s="109"/>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row>
    <row r="85" spans="3:88" ht="15" customHeight="1" x14ac:dyDescent="0.3">
      <c r="D85" s="2"/>
      <c r="E85" s="57"/>
      <c r="F85" s="57"/>
      <c r="G85" s="57"/>
      <c r="H85" s="57"/>
      <c r="I85" s="57"/>
      <c r="U85" s="49"/>
      <c r="V85" s="49"/>
      <c r="W85" s="49"/>
      <c r="AR85" s="20"/>
      <c r="AS85" s="20"/>
      <c r="AT85" s="109"/>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row>
    <row r="86" spans="3:88" ht="15" customHeight="1" x14ac:dyDescent="0.3">
      <c r="D86" s="2" t="s">
        <v>198</v>
      </c>
      <c r="E86" s="81"/>
      <c r="F86" s="81"/>
      <c r="G86" s="81"/>
      <c r="H86" s="81"/>
      <c r="I86" s="81"/>
      <c r="J86" s="81"/>
      <c r="K86" s="81"/>
      <c r="L86" s="81"/>
      <c r="M86" s="81"/>
      <c r="N86" s="81"/>
      <c r="O86" s="81"/>
      <c r="P86" s="81"/>
      <c r="Q86" s="81"/>
      <c r="R86" s="81"/>
      <c r="S86" s="81"/>
      <c r="T86" s="81"/>
      <c r="U86" s="49"/>
      <c r="V86" s="49"/>
      <c r="W86" s="49"/>
      <c r="AB86" s="2" t="s">
        <v>193</v>
      </c>
      <c r="AC86" s="192"/>
      <c r="AD86" s="192"/>
      <c r="AE86" s="192"/>
      <c r="AF86" s="192"/>
      <c r="AG86" s="192"/>
      <c r="AR86" s="20"/>
      <c r="AS86" s="20"/>
      <c r="AT86" s="109"/>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row>
    <row r="87" spans="3:88" ht="15" customHeight="1" x14ac:dyDescent="0.3">
      <c r="AR87" s="20"/>
      <c r="AS87" s="20"/>
      <c r="AT87" s="109"/>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row>
    <row r="88" spans="3:88" ht="15" customHeight="1" x14ac:dyDescent="0.3">
      <c r="AR88" s="20"/>
      <c r="AS88" s="20"/>
      <c r="AT88" s="109"/>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row>
    <row r="89" spans="3:88" ht="15" customHeight="1" x14ac:dyDescent="0.3">
      <c r="AR89" s="20"/>
      <c r="AS89" s="20"/>
      <c r="AT89" s="109"/>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row>
    <row r="90" spans="3:88" ht="15" customHeight="1" x14ac:dyDescent="0.3">
      <c r="AR90" s="20"/>
      <c r="AS90" s="20"/>
      <c r="AT90" s="109"/>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row>
    <row r="91" spans="3:88" ht="15" customHeight="1" x14ac:dyDescent="0.3">
      <c r="AR91" s="20"/>
      <c r="AS91" s="20"/>
      <c r="AT91" s="109"/>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row>
    <row r="92" spans="3:88" ht="15" customHeight="1" x14ac:dyDescent="0.3">
      <c r="AR92" s="20"/>
      <c r="AS92" s="20"/>
      <c r="AT92" s="109"/>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row>
    <row r="93" spans="3:88" ht="15" customHeight="1" x14ac:dyDescent="0.3">
      <c r="AR93" s="20"/>
      <c r="AS93" s="20"/>
      <c r="AT93" s="109"/>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row>
    <row r="94" spans="3:88" ht="15" customHeight="1" x14ac:dyDescent="0.3">
      <c r="AR94" s="20"/>
      <c r="AS94" s="20"/>
      <c r="AT94" s="109"/>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row>
    <row r="95" spans="3:88" ht="15" customHeight="1" x14ac:dyDescent="0.3">
      <c r="AR95" s="20"/>
      <c r="AS95" s="20"/>
      <c r="AT95" s="109"/>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row>
    <row r="96" spans="3:88" ht="15" customHeight="1" x14ac:dyDescent="0.3">
      <c r="AR96" s="20"/>
      <c r="AS96" s="20"/>
      <c r="AT96" s="109"/>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row>
    <row r="97" spans="2:88" ht="15" customHeight="1" x14ac:dyDescent="0.3">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row>
    <row r="98" spans="2:88" ht="15" customHeight="1" x14ac:dyDescent="0.3">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row>
    <row r="99" spans="2:88" ht="15" customHeight="1" x14ac:dyDescent="0.3">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row>
    <row r="100" spans="2:88" ht="15" customHeight="1" x14ac:dyDescent="0.3">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row>
    <row r="101" spans="2:88" ht="15" customHeight="1" x14ac:dyDescent="0.3">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row>
    <row r="102" spans="2:88" ht="15" customHeight="1" x14ac:dyDescent="0.3">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row>
    <row r="103" spans="2:88" ht="15" customHeight="1" x14ac:dyDescent="0.3">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row>
    <row r="104" spans="2:88" ht="15" customHeight="1" x14ac:dyDescent="0.3">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row>
    <row r="105" spans="2:88" ht="15" customHeight="1" x14ac:dyDescent="0.3">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row>
    <row r="106" spans="2:88" ht="15" customHeight="1" x14ac:dyDescent="0.3">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row>
    <row r="107" spans="2:88" ht="15" customHeight="1" x14ac:dyDescent="0.3">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row>
    <row r="108" spans="2:88" ht="15" customHeight="1" x14ac:dyDescent="0.3">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row>
    <row r="109" spans="2:88" ht="15" customHeight="1" x14ac:dyDescent="0.3">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row>
    <row r="110" spans="2:88" ht="15" customHeight="1" x14ac:dyDescent="0.3">
      <c r="B110" s="203">
        <f>Tables!$F$13</f>
        <v>45931</v>
      </c>
      <c r="C110" s="203"/>
      <c r="D110" s="203"/>
      <c r="E110" s="203"/>
      <c r="F110" s="203"/>
      <c r="G110" s="203"/>
      <c r="H110" s="203"/>
      <c r="R110" s="189" t="s">
        <v>356</v>
      </c>
      <c r="S110" s="189"/>
      <c r="T110" s="189"/>
      <c r="U110" s="189"/>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row>
    <row r="111" spans="2:88" ht="15" customHeight="1" x14ac:dyDescent="0.3">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row>
    <row r="112" spans="2:88" ht="15" customHeight="1" x14ac:dyDescent="0.3">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row>
    <row r="113" spans="44:88" ht="15" customHeight="1" x14ac:dyDescent="0.3">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row>
  </sheetData>
  <sheetProtection algorithmName="SHA-512" hashValue="uo6lCVPs3X1Ywfo6qEpTrg79tN78VQUoirwo9ISURAtf27gnDYkLJTu2LeyicBIKsY/BXs4c7gJIaL0L1SiBZg==" saltValue="NH6UGgo+YasXVfJvLB0KJA==" spinCount="100000" sheet="1" objects="1" scenarios="1" selectLockedCells="1"/>
  <mergeCells count="162">
    <mergeCell ref="AB46:AC46"/>
    <mergeCell ref="AB48:AC48"/>
    <mergeCell ref="AB50:AC50"/>
    <mergeCell ref="AB52:AC52"/>
    <mergeCell ref="AB54:AC54"/>
    <mergeCell ref="R55:T55"/>
    <mergeCell ref="Y55:AA55"/>
    <mergeCell ref="AB28:AC28"/>
    <mergeCell ref="AB30:AC30"/>
    <mergeCell ref="AB32:AC32"/>
    <mergeCell ref="AB34:AC34"/>
    <mergeCell ref="AB36:AC36"/>
    <mergeCell ref="AB38:AC38"/>
    <mergeCell ref="AB40:AC40"/>
    <mergeCell ref="AB42:AC42"/>
    <mergeCell ref="AB44:AC44"/>
    <mergeCell ref="U36:V36"/>
    <mergeCell ref="Y36:AA36"/>
    <mergeCell ref="Y42:AA42"/>
    <mergeCell ref="Y48:AA48"/>
    <mergeCell ref="Y54:AA54"/>
    <mergeCell ref="BD1:BZ4"/>
    <mergeCell ref="AR6:BF7"/>
    <mergeCell ref="E7:Y7"/>
    <mergeCell ref="AE7:AJ7"/>
    <mergeCell ref="E8:Y8"/>
    <mergeCell ref="T9:Y9"/>
    <mergeCell ref="B23:D23"/>
    <mergeCell ref="F23:H23"/>
    <mergeCell ref="K23:M23"/>
    <mergeCell ref="R23:T23"/>
    <mergeCell ref="Y23:AA23"/>
    <mergeCell ref="K22:M22"/>
    <mergeCell ref="N1:AK4"/>
    <mergeCell ref="AH12:AI12"/>
    <mergeCell ref="AH14:AI14"/>
    <mergeCell ref="AE10:AJ10"/>
    <mergeCell ref="AB24:AC24"/>
    <mergeCell ref="B24:D24"/>
    <mergeCell ref="Y22:AA22"/>
    <mergeCell ref="F24:H24"/>
    <mergeCell ref="N24:O24"/>
    <mergeCell ref="R24:T24"/>
    <mergeCell ref="U24:V24"/>
    <mergeCell ref="Y24:AA24"/>
    <mergeCell ref="T10:Y10"/>
    <mergeCell ref="AB26:AC26"/>
    <mergeCell ref="F30:H30"/>
    <mergeCell ref="N30:O30"/>
    <mergeCell ref="R30:T30"/>
    <mergeCell ref="U30:V30"/>
    <mergeCell ref="Y30:AA30"/>
    <mergeCell ref="F28:H28"/>
    <mergeCell ref="N28:O28"/>
    <mergeCell ref="R28:T28"/>
    <mergeCell ref="U28:V28"/>
    <mergeCell ref="Y28:AA28"/>
    <mergeCell ref="F26:H26"/>
    <mergeCell ref="N26:O26"/>
    <mergeCell ref="R26:T26"/>
    <mergeCell ref="U26:V26"/>
    <mergeCell ref="Y26:AA26"/>
    <mergeCell ref="F34:H34"/>
    <mergeCell ref="N34:O34"/>
    <mergeCell ref="R34:T34"/>
    <mergeCell ref="U34:V34"/>
    <mergeCell ref="Y34:AA34"/>
    <mergeCell ref="F32:H32"/>
    <mergeCell ref="N32:O32"/>
    <mergeCell ref="R32:T32"/>
    <mergeCell ref="U32:V32"/>
    <mergeCell ref="Y32:AA32"/>
    <mergeCell ref="F40:H40"/>
    <mergeCell ref="N40:O40"/>
    <mergeCell ref="R40:T40"/>
    <mergeCell ref="U40:V40"/>
    <mergeCell ref="Y40:AA40"/>
    <mergeCell ref="F38:H38"/>
    <mergeCell ref="N38:O38"/>
    <mergeCell ref="R38:T38"/>
    <mergeCell ref="U38:V38"/>
    <mergeCell ref="Y38:AA38"/>
    <mergeCell ref="F46:H46"/>
    <mergeCell ref="N46:O46"/>
    <mergeCell ref="R46:T46"/>
    <mergeCell ref="U46:V46"/>
    <mergeCell ref="Y46:AA46"/>
    <mergeCell ref="F44:H44"/>
    <mergeCell ref="N44:O44"/>
    <mergeCell ref="R44:T44"/>
    <mergeCell ref="U44:V44"/>
    <mergeCell ref="Y44:AA44"/>
    <mergeCell ref="B62:H62"/>
    <mergeCell ref="R62:U62"/>
    <mergeCell ref="F52:H52"/>
    <mergeCell ref="N52:O52"/>
    <mergeCell ref="R52:T52"/>
    <mergeCell ref="U52:V52"/>
    <mergeCell ref="Y52:AA52"/>
    <mergeCell ref="F50:H50"/>
    <mergeCell ref="N50:O50"/>
    <mergeCell ref="R50:T50"/>
    <mergeCell ref="U50:V50"/>
    <mergeCell ref="Y50:AA50"/>
    <mergeCell ref="W82:Y82"/>
    <mergeCell ref="E83:Y83"/>
    <mergeCell ref="E84:I84"/>
    <mergeCell ref="AC86:AG86"/>
    <mergeCell ref="D64:Y64"/>
    <mergeCell ref="AE64:AJ64"/>
    <mergeCell ref="B67:AJ72"/>
    <mergeCell ref="E79:Y79"/>
    <mergeCell ref="E80:Y80"/>
    <mergeCell ref="E81:Y81"/>
    <mergeCell ref="B34:D34"/>
    <mergeCell ref="B36:D36"/>
    <mergeCell ref="B38:D38"/>
    <mergeCell ref="B40:D40"/>
    <mergeCell ref="B42:D42"/>
    <mergeCell ref="B110:H110"/>
    <mergeCell ref="R110:U110"/>
    <mergeCell ref="E82:K82"/>
    <mergeCell ref="O82:R82"/>
    <mergeCell ref="K54:M54"/>
    <mergeCell ref="N54:O54"/>
    <mergeCell ref="R54:T54"/>
    <mergeCell ref="U54:V54"/>
    <mergeCell ref="F48:H48"/>
    <mergeCell ref="N48:O48"/>
    <mergeCell ref="R48:T48"/>
    <mergeCell ref="U48:V48"/>
    <mergeCell ref="F42:H42"/>
    <mergeCell ref="N42:O42"/>
    <mergeCell ref="R42:T42"/>
    <mergeCell ref="U42:V42"/>
    <mergeCell ref="F36:H36"/>
    <mergeCell ref="N36:O36"/>
    <mergeCell ref="R36:T36"/>
    <mergeCell ref="B44:D44"/>
    <mergeCell ref="B46:D46"/>
    <mergeCell ref="B48:D48"/>
    <mergeCell ref="B50:D50"/>
    <mergeCell ref="B52:D52"/>
    <mergeCell ref="K24:M24"/>
    <mergeCell ref="K26:M26"/>
    <mergeCell ref="K28:M28"/>
    <mergeCell ref="K30:M30"/>
    <mergeCell ref="K32:M32"/>
    <mergeCell ref="K34:M34"/>
    <mergeCell ref="K36:M36"/>
    <mergeCell ref="K38:M38"/>
    <mergeCell ref="K40:M40"/>
    <mergeCell ref="K42:M42"/>
    <mergeCell ref="K44:M44"/>
    <mergeCell ref="K46:M46"/>
    <mergeCell ref="K48:M48"/>
    <mergeCell ref="K50:M50"/>
    <mergeCell ref="K52:M52"/>
    <mergeCell ref="B26:D26"/>
    <mergeCell ref="B28:D28"/>
    <mergeCell ref="B30:D30"/>
    <mergeCell ref="B32:D32"/>
  </mergeCells>
  <conditionalFormatting sqref="B16">
    <cfRule type="expression" dxfId="184" priority="66">
      <formula>$AP$16=3</formula>
    </cfRule>
    <cfRule type="expression" dxfId="183" priority="67">
      <formula>$AM$16=1</formula>
    </cfRule>
    <cfRule type="expression" dxfId="182" priority="68">
      <formula>$AN$16=2</formula>
    </cfRule>
  </conditionalFormatting>
  <conditionalFormatting sqref="B18">
    <cfRule type="expression" dxfId="181" priority="69">
      <formula>$AP$18=3</formula>
    </cfRule>
    <cfRule type="expression" dxfId="180" priority="70">
      <formula>$AM$18=1</formula>
    </cfRule>
    <cfRule type="expression" dxfId="179" priority="71">
      <formula>$AN$18=2</formula>
    </cfRule>
  </conditionalFormatting>
  <conditionalFormatting sqref="B20">
    <cfRule type="expression" dxfId="178" priority="73">
      <formula>$AM$20=1</formula>
    </cfRule>
    <cfRule type="expression" dxfId="177" priority="74">
      <formula>$AN$20=2</formula>
    </cfRule>
    <cfRule type="expression" dxfId="176" priority="72">
      <formula>$AP$20=3</formula>
    </cfRule>
  </conditionalFormatting>
  <conditionalFormatting sqref="B67:AJ72">
    <cfRule type="cellIs" priority="61" stopIfTrue="1" operator="greaterThan">
      <formula>0</formula>
    </cfRule>
    <cfRule type="expression" dxfId="175" priority="62">
      <formula>$AM$67=2</formula>
    </cfRule>
  </conditionalFormatting>
  <conditionalFormatting sqref="D64">
    <cfRule type="cellIs" dxfId="174" priority="50" operator="equal">
      <formula>0</formula>
    </cfRule>
  </conditionalFormatting>
  <conditionalFormatting sqref="E16">
    <cfRule type="expression" dxfId="173" priority="78">
      <formula>$AP$16=3</formula>
    </cfRule>
    <cfRule type="expression" dxfId="172" priority="77">
      <formula>$AM$16=1</formula>
    </cfRule>
  </conditionalFormatting>
  <conditionalFormatting sqref="E18">
    <cfRule type="expression" dxfId="171" priority="80">
      <formula>$AP$18=3</formula>
    </cfRule>
    <cfRule type="expression" dxfId="170" priority="79">
      <formula>$AM$18=1</formula>
    </cfRule>
  </conditionalFormatting>
  <conditionalFormatting sqref="E20">
    <cfRule type="expression" dxfId="169" priority="82">
      <formula>$AP$20=3</formula>
    </cfRule>
    <cfRule type="expression" dxfId="168" priority="81">
      <formula>$AM$20=1</formula>
    </cfRule>
  </conditionalFormatting>
  <conditionalFormatting sqref="E79:E80">
    <cfRule type="expression" dxfId="167" priority="56">
      <formula>ISBLANK(E79)</formula>
    </cfRule>
  </conditionalFormatting>
  <conditionalFormatting sqref="E82:E84">
    <cfRule type="expression" dxfId="166" priority="51">
      <formula>ISBLANK(E82)</formula>
    </cfRule>
  </conditionalFormatting>
  <conditionalFormatting sqref="E81:Y81">
    <cfRule type="expression" dxfId="165" priority="54">
      <formula>ISBLANK(E81)</formula>
    </cfRule>
  </conditionalFormatting>
  <conditionalFormatting sqref="F10 I10">
    <cfRule type="expression" dxfId="164" priority="102">
      <formula>$AP$10=3</formula>
    </cfRule>
    <cfRule type="expression" dxfId="163" priority="103">
      <formula>$AM$10=0</formula>
    </cfRule>
  </conditionalFormatting>
  <conditionalFormatting sqref="F12">
    <cfRule type="expression" dxfId="162" priority="59">
      <formula>ISBLANK(F12)</formula>
    </cfRule>
  </conditionalFormatting>
  <conditionalFormatting sqref="F14">
    <cfRule type="expression" dxfId="161" priority="34">
      <formula>ISBLANK(F14)</formula>
    </cfRule>
  </conditionalFormatting>
  <conditionalFormatting sqref="F23:H23">
    <cfRule type="expression" dxfId="160" priority="16">
      <formula>$AO$14=3</formula>
    </cfRule>
    <cfRule type="expression" dxfId="159" priority="15">
      <formula>$AO$14=0</formula>
    </cfRule>
  </conditionalFormatting>
  <conditionalFormatting sqref="K24 R24 Y24 K26 R26 Y26 K28 R28 Y28 K30 R30 Y30 K32 R32 Y32 K34 R34 Y34 K36 R36 Y36 K38 R38 Y38 K40 R40 Y40 K42 R42 Y42 K44 R44 Y44 K46 R46 Y46 K48 R48 Y48 K50 R50 Y50 K52 R52 Y52">
    <cfRule type="expression" dxfId="158" priority="9">
      <formula>$AQ$10=2</formula>
    </cfRule>
    <cfRule type="expression" dxfId="157" priority="8">
      <formula>$AQ$10=1</formula>
    </cfRule>
  </conditionalFormatting>
  <conditionalFormatting sqref="K22:M22">
    <cfRule type="expression" dxfId="156" priority="32">
      <formula>$AO$14=0</formula>
    </cfRule>
    <cfRule type="expression" dxfId="155" priority="33">
      <formula>$AO$14=3</formula>
    </cfRule>
  </conditionalFormatting>
  <conditionalFormatting sqref="K54:M54">
    <cfRule type="expression" dxfId="154" priority="98">
      <formula>$AN$10=1</formula>
    </cfRule>
    <cfRule type="expression" dxfId="153" priority="99">
      <formula>$AO$10=2</formula>
    </cfRule>
    <cfRule type="cellIs" priority="100" stopIfTrue="1" operator="greaterThan">
      <formula>0</formula>
    </cfRule>
    <cfRule type="cellIs" dxfId="152" priority="101" operator="equal">
      <formula>0</formula>
    </cfRule>
  </conditionalFormatting>
  <conditionalFormatting sqref="N24 U24 N26 U26 N28 U28 N30 U30 AB30 N32 U32 AB32 N34 U34 AB34 N36 U36 AB36 N38 U38 AB38 N40 U40 AB40 N42 U42 AB42 N44 U44 AB44 N46 U46 AB46 N48 U48 AB48 N50 U50 AB50 N52 U52 AB52">
    <cfRule type="expression" dxfId="151" priority="11">
      <formula>$AQ$10=3</formula>
    </cfRule>
    <cfRule type="expression" dxfId="150" priority="10">
      <formula>$AM$10=0</formula>
    </cfRule>
  </conditionalFormatting>
  <conditionalFormatting sqref="N54">
    <cfRule type="expression" dxfId="149" priority="96">
      <formula>$AM$10=0</formula>
    </cfRule>
    <cfRule type="expression" dxfId="148" priority="97">
      <formula>$AQ$10=3</formula>
    </cfRule>
  </conditionalFormatting>
  <conditionalFormatting sqref="O82">
    <cfRule type="expression" dxfId="147" priority="52">
      <formula>ISBLANK(O82)</formula>
    </cfRule>
  </conditionalFormatting>
  <conditionalFormatting sqref="R54">
    <cfRule type="cellIs" dxfId="146" priority="44" operator="equal">
      <formula>0</formula>
    </cfRule>
    <cfRule type="cellIs" priority="43" stopIfTrue="1" operator="greaterThan">
      <formula>0</formula>
    </cfRule>
  </conditionalFormatting>
  <conditionalFormatting sqref="R54:T54">
    <cfRule type="expression" dxfId="145" priority="36">
      <formula>$AQ$10=1</formula>
    </cfRule>
    <cfRule type="expression" dxfId="144" priority="35">
      <formula>$AQ$10=2</formula>
    </cfRule>
  </conditionalFormatting>
  <conditionalFormatting sqref="R55:T55">
    <cfRule type="cellIs" dxfId="143" priority="19" operator="equal">
      <formula>0</formula>
    </cfRule>
  </conditionalFormatting>
  <conditionalFormatting sqref="U54">
    <cfRule type="expression" dxfId="142" priority="40">
      <formula>$AQ$10=3</formula>
    </cfRule>
    <cfRule type="expression" dxfId="141" priority="39">
      <formula>$AM$10=0</formula>
    </cfRule>
  </conditionalFormatting>
  <conditionalFormatting sqref="V12 V14">
    <cfRule type="expression" dxfId="140" priority="85">
      <formula>$AP$12=3</formula>
    </cfRule>
    <cfRule type="expression" dxfId="139" priority="86">
      <formula>$AM$12=0</formula>
    </cfRule>
  </conditionalFormatting>
  <conditionalFormatting sqref="W82">
    <cfRule type="expression" dxfId="138" priority="53">
      <formula>ISBLANK(W82)</formula>
    </cfRule>
  </conditionalFormatting>
  <conditionalFormatting sqref="Y54">
    <cfRule type="cellIs" dxfId="137" priority="25" operator="equal">
      <formula>0</formula>
    </cfRule>
    <cfRule type="cellIs" priority="24" stopIfTrue="1" operator="greaterThan">
      <formula>0</formula>
    </cfRule>
  </conditionalFormatting>
  <conditionalFormatting sqref="Y54:AA54">
    <cfRule type="expression" dxfId="136" priority="21">
      <formula>$AQ$10=1</formula>
    </cfRule>
    <cfRule type="expression" dxfId="135" priority="20">
      <formula>$AQ$10=2</formula>
    </cfRule>
  </conditionalFormatting>
  <conditionalFormatting sqref="Y55:AA55">
    <cfRule type="cellIs" dxfId="134" priority="18" operator="equal">
      <formula>0</formula>
    </cfRule>
  </conditionalFormatting>
  <conditionalFormatting sqref="AB24">
    <cfRule type="expression" dxfId="133" priority="7">
      <formula>$AQ$10=3</formula>
    </cfRule>
    <cfRule type="expression" dxfId="132" priority="6">
      <formula>$AM$10=0</formula>
    </cfRule>
  </conditionalFormatting>
  <conditionalFormatting sqref="AB26">
    <cfRule type="expression" dxfId="131" priority="5">
      <formula>$AQ$10=3</formula>
    </cfRule>
    <cfRule type="expression" dxfId="130" priority="4">
      <formula>$AM$10=0</formula>
    </cfRule>
  </conditionalFormatting>
  <conditionalFormatting sqref="AB28">
    <cfRule type="expression" dxfId="129" priority="3">
      <formula>$AQ$10=3</formula>
    </cfRule>
    <cfRule type="expression" dxfId="128" priority="2">
      <formula>$AM$10=0</formula>
    </cfRule>
  </conditionalFormatting>
  <conditionalFormatting sqref="AB54">
    <cfRule type="expression" dxfId="127" priority="23">
      <formula>$AQ$10=3</formula>
    </cfRule>
    <cfRule type="expression" dxfId="126" priority="22">
      <formula>$AM$10=0</formula>
    </cfRule>
  </conditionalFormatting>
  <conditionalFormatting sqref="AC86">
    <cfRule type="expression" dxfId="125" priority="55">
      <formula>ISBLANK(AC86)</formula>
    </cfRule>
  </conditionalFormatting>
  <conditionalFormatting sqref="AE24 AH24 AE26 AH26 AE28 AH28 AE30 AH30 AE32 AH32 AE34 AH34 AE36 AH36 AE38 AH38 AE40 AH40 AE42 AH42 AE44 AH44 AE46 AH46 AE48 AH48 AE50 AH50 AE52 AH52">
    <cfRule type="expression" dxfId="124" priority="14">
      <formula>$AM24=2</formula>
    </cfRule>
    <cfRule type="expression" priority="13" stopIfTrue="1">
      <formula>$AN24=1</formula>
    </cfRule>
  </conditionalFormatting>
  <conditionalFormatting sqref="AE7:AJ7 E7:Y8 T9:Y10 AE10:AJ10">
    <cfRule type="cellIs" dxfId="123" priority="17" operator="equal">
      <formula>0</formula>
    </cfRule>
  </conditionalFormatting>
  <conditionalFormatting sqref="AE64:AJ64">
    <cfRule type="cellIs" dxfId="122" priority="49" operator="equal">
      <formula>0</formula>
    </cfRule>
  </conditionalFormatting>
  <conditionalFormatting sqref="AH12">
    <cfRule type="cellIs" priority="83" stopIfTrue="1" operator="greaterThan">
      <formula>0</formula>
    </cfRule>
    <cfRule type="expression" dxfId="121" priority="84">
      <formula>$AN$12=1</formula>
    </cfRule>
  </conditionalFormatting>
  <conditionalFormatting sqref="AH14">
    <cfRule type="expression" dxfId="120" priority="88">
      <formula>$AO$12=1</formula>
    </cfRule>
    <cfRule type="cellIs" priority="87" stopIfTrue="1" operator="greaterThan">
      <formula>0</formula>
    </cfRule>
  </conditionalFormatting>
  <conditionalFormatting sqref="AH24 AH26 AH28 AH30 AH32 AH34 AH36 AH38 AH40 AH42 AH44 AH46 AH48 AH50 AH52 AE24 AE26 AE28 AE30 AE32 AE34 AE36 AE38 AE40 AE42 AE44 AE46 AE48 AE50 AE52">
    <cfRule type="expression" dxfId="119" priority="12">
      <formula>$AP24=3</formula>
    </cfRule>
  </conditionalFormatting>
  <conditionalFormatting sqref="AH24 AH26 AH28 AH30 AH32 AH34 AH36 AH38 AH40 AH42 AH44 AH46 AH48 AH50 AH52">
    <cfRule type="expression" dxfId="118" priority="1">
      <formula>$AO24=2</formula>
    </cfRule>
  </conditionalFormatting>
  <printOptions horizontalCentered="1"/>
  <pageMargins left="0.25" right="0.25" top="0.25" bottom="0.25" header="0.3" footer="0.3"/>
  <pageSetup orientation="portrait" horizontalDpi="1200" verticalDpi="1200" r:id="rId1"/>
  <rowBreaks count="1" manualBreakCount="1">
    <brk id="63" max="16383" man="1"/>
  </rowBreaks>
  <drawing r:id="rId2"/>
  <legacyDrawing r:id="rId3"/>
  <extLst>
    <ext xmlns:x14="http://schemas.microsoft.com/office/spreadsheetml/2009/9/main" uri="{CCE6A557-97BC-4b89-ADB6-D9C93CAAB3DF}">
      <x14:dataValidations xmlns:xm="http://schemas.microsoft.com/office/excel/2006/main" count="1">
        <x14:dataValidation type="custom" allowBlank="1" showInputMessage="1" showErrorMessage="1" errorTitle="Workbook Locked" error="On the Instructions Tab, accept the conditions to use this form._x000a__x000a_                     OR_x000a__x000a_This form has expired.  Please obtain the latest version of this form." xr:uid="{6BC48FC7-1136-4803-BCC5-54A1AAC1FE31}">
          <x14:formula1>
            <xm:f>Tables!$B$8</xm:f>
          </x14:formula1>
          <xm:sqref>Z23:AA23 A8:AC8 AK8:AL8 A9:A1048576 A1:AL7 B9:Y23 AB9:AL23 Z9:AA21 B53:AL1048576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40FC-239C-4B7E-928C-842CA3520C8D}">
  <sheetPr codeName="Sheet6">
    <tabColor theme="8" tint="0.39997558519241921"/>
  </sheetPr>
  <dimension ref="A1:CE281"/>
  <sheetViews>
    <sheetView showGridLines="0" showRowColHeaders="0" showZeros="0" zoomScale="150" zoomScaleNormal="150" workbookViewId="0">
      <selection activeCell="AF7" sqref="AF7:AK7"/>
    </sheetView>
  </sheetViews>
  <sheetFormatPr defaultColWidth="0" defaultRowHeight="0" customHeight="1" zeroHeight="1" x14ac:dyDescent="0.3"/>
  <cols>
    <col min="1" max="11" width="2.6640625" style="22" customWidth="1"/>
    <col min="12" max="12" width="3.77734375" style="22" customWidth="1"/>
    <col min="13" max="13" width="2.77734375" style="22" customWidth="1"/>
    <col min="14" max="29" width="2.6640625" style="22" customWidth="1"/>
    <col min="30" max="30" width="3.77734375" style="22" customWidth="1"/>
    <col min="31" max="37" width="2.6640625" style="22" customWidth="1"/>
    <col min="38" max="38" width="2.44140625" style="22" customWidth="1"/>
    <col min="39" max="39" width="10.33203125" style="16" hidden="1" customWidth="1"/>
    <col min="40" max="40" width="9.21875" style="14" hidden="1" customWidth="1"/>
    <col min="41" max="41" width="11" style="16" hidden="1" customWidth="1"/>
    <col min="42" max="44" width="7.21875" style="16" hidden="1" customWidth="1"/>
    <col min="45" max="46" width="10.77734375" style="16" hidden="1" customWidth="1"/>
    <col min="47" max="47" width="3.77734375" style="22" customWidth="1"/>
    <col min="48" max="48" width="3.77734375" style="17" customWidth="1"/>
    <col min="49" max="82" width="2.77734375" style="22" customWidth="1"/>
    <col min="83" max="83" width="2.77734375" style="22" hidden="1" customWidth="1"/>
    <col min="84" max="16384" width="8.88671875" style="22" hidden="1"/>
  </cols>
  <sheetData>
    <row r="1" spans="1:81" ht="15" customHeight="1" x14ac:dyDescent="0.3">
      <c r="N1" s="3"/>
      <c r="O1" s="3"/>
      <c r="P1" s="3"/>
      <c r="Q1" s="3"/>
      <c r="R1" s="18"/>
      <c r="S1" s="18"/>
      <c r="T1" s="18"/>
      <c r="U1" s="225" t="s">
        <v>202</v>
      </c>
      <c r="V1" s="225"/>
      <c r="W1" s="225"/>
      <c r="X1" s="225"/>
      <c r="Y1" s="225"/>
      <c r="Z1" s="225"/>
      <c r="AA1" s="225"/>
      <c r="AB1" s="225"/>
      <c r="AC1" s="225"/>
      <c r="AD1" s="225"/>
      <c r="AE1" s="225"/>
      <c r="AF1" s="225"/>
      <c r="AG1" s="225"/>
      <c r="AH1" s="225"/>
      <c r="AI1" s="225"/>
      <c r="AJ1" s="225"/>
      <c r="AK1" s="225"/>
      <c r="AL1" s="225"/>
      <c r="BC1" s="18"/>
      <c r="BD1" s="18"/>
      <c r="BE1" s="18"/>
      <c r="BF1" s="18"/>
      <c r="BG1" s="18"/>
      <c r="BH1" s="18"/>
      <c r="BI1" s="18"/>
      <c r="BJ1" s="18"/>
      <c r="BK1" s="18"/>
      <c r="BO1" s="225" t="str">
        <f>U1</f>
        <v>Form 3B - Retention Pond
As-Built Certification Form</v>
      </c>
      <c r="BP1" s="225"/>
      <c r="BQ1" s="225"/>
      <c r="BR1" s="225"/>
      <c r="BS1" s="225"/>
      <c r="BT1" s="225"/>
      <c r="BU1" s="225"/>
      <c r="BV1" s="225"/>
      <c r="BW1" s="225"/>
      <c r="BX1" s="225"/>
      <c r="BY1" s="225"/>
      <c r="BZ1" s="225"/>
      <c r="CA1" s="225"/>
      <c r="CB1" s="225"/>
      <c r="CC1" s="225"/>
    </row>
    <row r="2" spans="1:81" ht="15" customHeight="1" x14ac:dyDescent="0.3">
      <c r="J2" s="3"/>
      <c r="K2" s="3"/>
      <c r="L2" s="3"/>
      <c r="M2" s="3"/>
      <c r="N2" s="3"/>
      <c r="O2" s="3"/>
      <c r="P2" s="3"/>
      <c r="Q2" s="3"/>
      <c r="R2" s="18"/>
      <c r="S2" s="18"/>
      <c r="T2" s="18"/>
      <c r="U2" s="225"/>
      <c r="V2" s="225"/>
      <c r="W2" s="225"/>
      <c r="X2" s="225"/>
      <c r="Y2" s="225"/>
      <c r="Z2" s="225"/>
      <c r="AA2" s="225"/>
      <c r="AB2" s="225"/>
      <c r="AC2" s="225"/>
      <c r="AD2" s="225"/>
      <c r="AE2" s="225"/>
      <c r="AF2" s="225"/>
      <c r="AG2" s="225"/>
      <c r="AH2" s="225"/>
      <c r="AI2" s="225"/>
      <c r="AJ2" s="225"/>
      <c r="AK2" s="225"/>
      <c r="AL2" s="225"/>
      <c r="BB2" s="18"/>
      <c r="BC2" s="18"/>
      <c r="BD2" s="18"/>
      <c r="BE2" s="18"/>
      <c r="BF2" s="18"/>
      <c r="BG2" s="18"/>
      <c r="BH2" s="18"/>
      <c r="BI2" s="18"/>
      <c r="BJ2" s="18"/>
      <c r="BK2" s="18"/>
      <c r="BO2" s="225"/>
      <c r="BP2" s="225"/>
      <c r="BQ2" s="225"/>
      <c r="BR2" s="225"/>
      <c r="BS2" s="225"/>
      <c r="BT2" s="225"/>
      <c r="BU2" s="225"/>
      <c r="BV2" s="225"/>
      <c r="BW2" s="225"/>
      <c r="BX2" s="225"/>
      <c r="BY2" s="225"/>
      <c r="BZ2" s="225"/>
      <c r="CA2" s="225"/>
      <c r="CB2" s="225"/>
      <c r="CC2" s="225"/>
    </row>
    <row r="3" spans="1:81" ht="15" customHeight="1" x14ac:dyDescent="0.3">
      <c r="J3" s="3"/>
      <c r="K3" s="3"/>
      <c r="L3" s="3"/>
      <c r="M3" s="3"/>
      <c r="N3" s="3"/>
      <c r="O3" s="3"/>
      <c r="P3" s="3"/>
      <c r="Q3" s="3"/>
      <c r="R3" s="18"/>
      <c r="S3" s="18"/>
      <c r="T3" s="18"/>
      <c r="U3" s="225"/>
      <c r="V3" s="225"/>
      <c r="W3" s="225"/>
      <c r="X3" s="225"/>
      <c r="Y3" s="225"/>
      <c r="Z3" s="225"/>
      <c r="AA3" s="225"/>
      <c r="AB3" s="225"/>
      <c r="AC3" s="225"/>
      <c r="AD3" s="225"/>
      <c r="AE3" s="225"/>
      <c r="AF3" s="225"/>
      <c r="AG3" s="225"/>
      <c r="AH3" s="225"/>
      <c r="AI3" s="225"/>
      <c r="AJ3" s="225"/>
      <c r="AK3" s="225"/>
      <c r="AL3" s="225"/>
      <c r="BB3" s="18"/>
      <c r="BC3" s="18"/>
      <c r="BD3" s="18"/>
      <c r="BE3" s="18"/>
      <c r="BF3" s="18"/>
      <c r="BG3" s="18"/>
      <c r="BH3" s="18"/>
      <c r="BI3" s="18"/>
      <c r="BJ3" s="18"/>
      <c r="BK3" s="18"/>
      <c r="BO3" s="225"/>
      <c r="BP3" s="225"/>
      <c r="BQ3" s="225"/>
      <c r="BR3" s="225"/>
      <c r="BS3" s="225"/>
      <c r="BT3" s="225"/>
      <c r="BU3" s="225"/>
      <c r="BV3" s="225"/>
      <c r="BW3" s="225"/>
      <c r="BX3" s="225"/>
      <c r="BY3" s="225"/>
      <c r="BZ3" s="225"/>
      <c r="CA3" s="225"/>
      <c r="CB3" s="225"/>
      <c r="CC3" s="225"/>
    </row>
    <row r="4" spans="1:81" ht="15" customHeight="1" x14ac:dyDescent="0.3">
      <c r="J4" s="3"/>
      <c r="K4" s="3"/>
      <c r="L4" s="3"/>
      <c r="M4" s="3"/>
      <c r="N4" s="3"/>
      <c r="O4" s="3"/>
      <c r="P4" s="3"/>
      <c r="Q4" s="3"/>
      <c r="R4" s="18"/>
      <c r="S4" s="18"/>
      <c r="T4" s="18"/>
      <c r="U4" s="225"/>
      <c r="V4" s="225"/>
      <c r="W4" s="225"/>
      <c r="X4" s="225"/>
      <c r="Y4" s="225"/>
      <c r="Z4" s="225"/>
      <c r="AA4" s="225"/>
      <c r="AB4" s="225"/>
      <c r="AC4" s="225"/>
      <c r="AD4" s="225"/>
      <c r="AE4" s="225"/>
      <c r="AF4" s="225"/>
      <c r="AG4" s="225"/>
      <c r="AH4" s="225"/>
      <c r="AI4" s="225"/>
      <c r="AJ4" s="225"/>
      <c r="AK4" s="225"/>
      <c r="AL4" s="225"/>
      <c r="BB4" s="18"/>
      <c r="BC4" s="18"/>
      <c r="BD4" s="18"/>
      <c r="BE4" s="18"/>
      <c r="BF4" s="18"/>
      <c r="BG4" s="18"/>
      <c r="BH4" s="18"/>
      <c r="BI4" s="18"/>
      <c r="BJ4" s="18"/>
      <c r="BK4" s="18"/>
      <c r="BO4" s="225"/>
      <c r="BP4" s="225"/>
      <c r="BQ4" s="225"/>
      <c r="BR4" s="225"/>
      <c r="BS4" s="225"/>
      <c r="BT4" s="225"/>
      <c r="BU4" s="225"/>
      <c r="BV4" s="225"/>
      <c r="BW4" s="225"/>
      <c r="BX4" s="225"/>
      <c r="BY4" s="225"/>
      <c r="BZ4" s="225"/>
      <c r="CA4" s="225"/>
      <c r="CB4" s="225"/>
      <c r="CC4" s="225"/>
    </row>
    <row r="5" spans="1:81" ht="4.95" customHeight="1" x14ac:dyDescent="0.3">
      <c r="J5" s="3"/>
      <c r="K5" s="3"/>
      <c r="L5" s="3"/>
      <c r="M5" s="3"/>
      <c r="N5" s="3"/>
      <c r="O5" s="3"/>
      <c r="P5" s="3"/>
      <c r="Q5" s="3"/>
      <c r="R5" s="19"/>
      <c r="S5" s="19"/>
      <c r="T5" s="19"/>
      <c r="U5" s="19"/>
      <c r="V5" s="19"/>
      <c r="W5" s="19"/>
      <c r="X5" s="19"/>
      <c r="Y5" s="19"/>
      <c r="Z5" s="19"/>
      <c r="AA5" s="19"/>
      <c r="AB5" s="19"/>
      <c r="AC5" s="19"/>
      <c r="AD5" s="19"/>
      <c r="AE5" s="19"/>
      <c r="AF5" s="19"/>
      <c r="AG5" s="19"/>
      <c r="AH5" s="19"/>
      <c r="AI5" s="19"/>
      <c r="AJ5" s="19"/>
      <c r="AK5" s="19"/>
    </row>
    <row r="6" spans="1:81" ht="15" customHeight="1" x14ac:dyDescent="0.3">
      <c r="A6" s="1" t="s">
        <v>0</v>
      </c>
      <c r="C6" s="1"/>
      <c r="D6" s="1"/>
      <c r="E6" s="1"/>
      <c r="F6" s="1"/>
      <c r="G6" s="1"/>
      <c r="H6" s="1"/>
      <c r="I6" s="1"/>
      <c r="AD6" s="2" t="s">
        <v>424</v>
      </c>
      <c r="AE6" s="241">
        <f>'Form 2B.1 - Design'!AD6</f>
        <v>0</v>
      </c>
      <c r="AF6" s="241"/>
      <c r="AG6" s="241"/>
      <c r="AH6" s="241"/>
      <c r="AI6" s="241"/>
      <c r="AJ6" s="241"/>
      <c r="AK6" s="241"/>
      <c r="AM6" s="89">
        <f>LEN(AE6)</f>
        <v>1</v>
      </c>
      <c r="AV6" s="222" t="s">
        <v>64</v>
      </c>
      <c r="AW6" s="222"/>
      <c r="AX6" s="222"/>
      <c r="AY6" s="222"/>
      <c r="AZ6" s="222"/>
      <c r="BA6" s="222"/>
      <c r="BB6" s="222"/>
      <c r="BC6" s="222"/>
      <c r="BD6" s="222"/>
      <c r="BE6" s="222"/>
      <c r="BF6" s="222"/>
      <c r="BG6" s="222"/>
      <c r="BH6" s="222"/>
      <c r="BI6" s="222"/>
    </row>
    <row r="7" spans="1:81" ht="14.55" customHeight="1" x14ac:dyDescent="0.3">
      <c r="C7" s="2"/>
      <c r="D7" s="2" t="s">
        <v>1</v>
      </c>
      <c r="E7" s="210">
        <f>'Form 2B.1 - Design'!$E$7</f>
        <v>0</v>
      </c>
      <c r="F7" s="210"/>
      <c r="G7" s="210"/>
      <c r="H7" s="210"/>
      <c r="I7" s="210"/>
      <c r="J7" s="210"/>
      <c r="K7" s="210"/>
      <c r="L7" s="210"/>
      <c r="M7" s="210"/>
      <c r="N7" s="210"/>
      <c r="O7" s="210"/>
      <c r="P7" s="210"/>
      <c r="Q7" s="210"/>
      <c r="R7" s="210"/>
      <c r="S7" s="210"/>
      <c r="T7" s="210"/>
      <c r="U7" s="210"/>
      <c r="V7" s="210"/>
      <c r="W7" s="210"/>
      <c r="X7" s="210"/>
      <c r="Y7" s="210"/>
      <c r="Z7" s="210"/>
      <c r="AE7" s="2" t="s">
        <v>19</v>
      </c>
      <c r="AF7" s="192"/>
      <c r="AG7" s="192"/>
      <c r="AH7" s="192"/>
      <c r="AI7" s="192"/>
      <c r="AJ7" s="192"/>
      <c r="AK7" s="192"/>
      <c r="AV7" s="222"/>
      <c r="AW7" s="222"/>
      <c r="AX7" s="222"/>
      <c r="AY7" s="222"/>
      <c r="AZ7" s="222"/>
      <c r="BA7" s="222"/>
      <c r="BB7" s="222"/>
      <c r="BC7" s="222"/>
      <c r="BD7" s="222"/>
      <c r="BE7" s="222"/>
      <c r="BF7" s="222"/>
      <c r="BG7" s="222"/>
      <c r="BH7" s="222"/>
      <c r="BI7" s="222"/>
    </row>
    <row r="8" spans="1:81" ht="14.55" customHeight="1" x14ac:dyDescent="0.3">
      <c r="C8" s="2"/>
      <c r="D8" s="2" t="s">
        <v>18</v>
      </c>
      <c r="E8" s="260">
        <f>'Form 2B.1 - Design'!$E$8</f>
        <v>0</v>
      </c>
      <c r="F8" s="260"/>
      <c r="G8" s="260"/>
      <c r="H8" s="260"/>
      <c r="I8" s="260"/>
      <c r="J8" s="260"/>
      <c r="K8" s="260"/>
      <c r="L8" s="260"/>
      <c r="M8" s="260"/>
      <c r="N8" s="260"/>
      <c r="O8" s="260"/>
      <c r="P8" s="260"/>
      <c r="Q8" s="260"/>
      <c r="R8" s="260"/>
      <c r="S8" s="260"/>
      <c r="T8" s="260"/>
      <c r="U8" s="260"/>
      <c r="V8" s="260"/>
      <c r="W8" s="260"/>
      <c r="X8" s="260"/>
      <c r="Y8" s="260"/>
      <c r="Z8" s="260"/>
      <c r="AE8" s="2" t="s">
        <v>32</v>
      </c>
      <c r="AF8" s="190">
        <f>'Form 2B.1 - Design'!AE8</f>
        <v>0</v>
      </c>
      <c r="AG8" s="190"/>
      <c r="AH8" s="190"/>
      <c r="AI8" s="190"/>
      <c r="AJ8" s="190"/>
      <c r="AK8" s="190"/>
      <c r="AV8" s="17">
        <v>1</v>
      </c>
      <c r="AW8" s="68" t="s">
        <v>88</v>
      </c>
    </row>
    <row r="9" spans="1:81" ht="4.95" customHeight="1" x14ac:dyDescent="0.3">
      <c r="H9" s="2"/>
      <c r="I9" s="2"/>
    </row>
    <row r="10" spans="1:81" ht="14.55" customHeight="1" x14ac:dyDescent="0.3">
      <c r="B10" s="22" t="s">
        <v>116</v>
      </c>
      <c r="G10" s="15"/>
      <c r="H10" s="22" t="s">
        <v>113</v>
      </c>
      <c r="N10" s="15"/>
      <c r="O10" s="22" t="s">
        <v>114</v>
      </c>
      <c r="W10" s="4"/>
      <c r="X10" s="4"/>
      <c r="Y10" s="4"/>
      <c r="Z10" s="15"/>
      <c r="AA10" s="22" t="str">
        <f>Tables!F24</f>
        <v xml:space="preserve"> O&amp;M Plan</v>
      </c>
      <c r="AH10" s="15"/>
      <c r="AI10" s="22" t="s">
        <v>117</v>
      </c>
      <c r="AW10" s="4" t="s">
        <v>90</v>
      </c>
      <c r="AX10" s="68" t="s">
        <v>201</v>
      </c>
    </row>
    <row r="11" spans="1:81" ht="4.95" customHeight="1" x14ac:dyDescent="0.3"/>
    <row r="12" spans="1:81" ht="15" customHeight="1" x14ac:dyDescent="0.3">
      <c r="A12" s="246" t="s">
        <v>154</v>
      </c>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W12" s="4" t="s">
        <v>91</v>
      </c>
      <c r="AX12" s="68" t="s">
        <v>89</v>
      </c>
    </row>
    <row r="13" spans="1:81" ht="15" customHeight="1" x14ac:dyDescent="0.3">
      <c r="B13" s="1" t="s">
        <v>51</v>
      </c>
      <c r="C13" s="1"/>
      <c r="D13" s="1"/>
      <c r="E13" s="1"/>
      <c r="F13" s="1"/>
      <c r="G13" s="1"/>
      <c r="I13" s="1"/>
      <c r="J13" s="1"/>
      <c r="K13" s="1"/>
      <c r="L13" s="1"/>
      <c r="M13" s="1"/>
      <c r="N13" s="1"/>
      <c r="O13" s="1"/>
      <c r="P13" s="1"/>
      <c r="Q13" s="1"/>
      <c r="R13" s="1"/>
      <c r="S13" s="1"/>
      <c r="T13" s="54"/>
      <c r="U13" s="24"/>
      <c r="V13" s="1" t="s">
        <v>52</v>
      </c>
      <c r="W13" s="1"/>
      <c r="X13" s="1"/>
      <c r="Y13" s="1"/>
      <c r="Z13" s="1"/>
      <c r="AA13" s="1"/>
      <c r="AB13" s="1"/>
      <c r="AC13" s="1"/>
      <c r="AE13" s="1"/>
      <c r="AF13" s="1"/>
      <c r="AG13" s="1"/>
      <c r="AH13" s="1"/>
      <c r="AJ13" s="50"/>
      <c r="AK13" s="50"/>
      <c r="AV13" s="17">
        <f>AV8+1</f>
        <v>2</v>
      </c>
      <c r="AW13" s="68" t="s">
        <v>100</v>
      </c>
      <c r="AX13" s="103"/>
    </row>
    <row r="14" spans="1:81" ht="14.55" customHeight="1" x14ac:dyDescent="0.3">
      <c r="F14" s="2" t="s">
        <v>156</v>
      </c>
      <c r="G14" s="255">
        <f>'Form 2B.1 - Design'!H57</f>
        <v>0</v>
      </c>
      <c r="H14" s="255"/>
      <c r="I14" s="255"/>
      <c r="J14" s="22" t="s">
        <v>39</v>
      </c>
      <c r="T14" s="28"/>
      <c r="Z14" s="2" t="s">
        <v>156</v>
      </c>
      <c r="AA14" s="209"/>
      <c r="AB14" s="209"/>
      <c r="AC14" s="209"/>
      <c r="AD14" s="22" t="s">
        <v>39</v>
      </c>
      <c r="AM14" s="16" t="s">
        <v>327</v>
      </c>
      <c r="AN14" s="91">
        <f>'Form 2B.1 - Design'!AM58</f>
        <v>0</v>
      </c>
      <c r="AW14" s="4" t="s">
        <v>90</v>
      </c>
      <c r="AX14" s="68" t="s">
        <v>259</v>
      </c>
    </row>
    <row r="15" spans="1:81" ht="14.55" customHeight="1" x14ac:dyDescent="0.3">
      <c r="F15" s="2" t="s">
        <v>199</v>
      </c>
      <c r="G15" s="247">
        <f>'Form 2B.1 - Design'!H58</f>
        <v>0</v>
      </c>
      <c r="H15" s="247"/>
      <c r="I15" s="247"/>
      <c r="J15" s="22" t="s">
        <v>39</v>
      </c>
      <c r="T15" s="28"/>
      <c r="Z15" s="2" t="s">
        <v>199</v>
      </c>
      <c r="AA15" s="211"/>
      <c r="AB15" s="211"/>
      <c r="AC15" s="211"/>
      <c r="AD15" s="22" t="s">
        <v>39</v>
      </c>
      <c r="AX15" s="68" t="s">
        <v>260</v>
      </c>
    </row>
    <row r="16" spans="1:81" ht="14.55" customHeight="1" x14ac:dyDescent="0.3">
      <c r="F16" s="2" t="s">
        <v>155</v>
      </c>
      <c r="G16" s="247">
        <f>'Form 2B.1 - Design'!H59</f>
        <v>0</v>
      </c>
      <c r="H16" s="247"/>
      <c r="I16" s="247"/>
      <c r="J16" s="22" t="s">
        <v>39</v>
      </c>
      <c r="T16" s="28"/>
      <c r="Z16" s="2" t="s">
        <v>155</v>
      </c>
      <c r="AA16" s="211"/>
      <c r="AB16" s="211"/>
      <c r="AC16" s="211"/>
      <c r="AD16" s="22" t="s">
        <v>39</v>
      </c>
      <c r="AW16" s="4" t="s">
        <v>91</v>
      </c>
      <c r="AX16" s="68" t="s">
        <v>94</v>
      </c>
      <c r="AY16" s="68"/>
      <c r="BA16" s="68"/>
      <c r="BB16" s="68"/>
      <c r="BC16" s="68"/>
      <c r="BD16" s="68"/>
      <c r="BE16" s="68"/>
      <c r="BF16" s="68"/>
      <c r="BG16" s="68"/>
    </row>
    <row r="17" spans="1:62" ht="14.55" customHeight="1" x14ac:dyDescent="0.3">
      <c r="F17" s="2" t="s">
        <v>172</v>
      </c>
      <c r="G17" s="244">
        <f>'Form 2B.1 - Design'!U57</f>
        <v>0</v>
      </c>
      <c r="H17" s="244"/>
      <c r="I17" s="244"/>
      <c r="J17" s="22" t="s">
        <v>39</v>
      </c>
      <c r="N17" s="2"/>
      <c r="T17" s="28"/>
      <c r="Z17" s="2" t="s">
        <v>172</v>
      </c>
      <c r="AA17" s="211"/>
      <c r="AB17" s="211"/>
      <c r="AC17" s="211"/>
      <c r="AD17" s="22" t="s">
        <v>39</v>
      </c>
      <c r="AH17" s="2"/>
      <c r="AW17" s="4" t="s">
        <v>103</v>
      </c>
      <c r="AX17" s="68" t="s">
        <v>317</v>
      </c>
      <c r="AY17" s="68"/>
      <c r="AZ17" s="68"/>
      <c r="BA17" s="68"/>
      <c r="BB17" s="68"/>
      <c r="BC17" s="68"/>
      <c r="BD17" s="68"/>
      <c r="BE17" s="68"/>
      <c r="BF17" s="68"/>
      <c r="BG17" s="68"/>
    </row>
    <row r="18" spans="1:62" ht="14.55" customHeight="1" x14ac:dyDescent="0.3">
      <c r="F18" s="2" t="s">
        <v>173</v>
      </c>
      <c r="G18" s="252">
        <f>'Form 2B.1 - Design'!U58</f>
        <v>0</v>
      </c>
      <c r="H18" s="252"/>
      <c r="I18" s="252"/>
      <c r="J18" s="252"/>
      <c r="K18" s="185" t="str">
        <f>'Form 2B.1 - Design'!Y58</f>
        <v>Units?</v>
      </c>
      <c r="L18" s="185"/>
      <c r="N18" s="2"/>
      <c r="T18" s="28"/>
      <c r="Z18" s="2" t="s">
        <v>173</v>
      </c>
      <c r="AA18" s="265"/>
      <c r="AB18" s="265"/>
      <c r="AC18" s="265"/>
      <c r="AD18" s="264"/>
      <c r="AE18" s="185" t="str">
        <f>K18</f>
        <v>Units?</v>
      </c>
      <c r="AF18" s="185"/>
      <c r="AH18" s="2"/>
      <c r="AX18" s="68" t="s">
        <v>318</v>
      </c>
      <c r="AY18" s="68"/>
      <c r="AZ18" s="68"/>
    </row>
    <row r="19" spans="1:62" ht="14.55" customHeight="1" x14ac:dyDescent="0.3">
      <c r="F19" s="2" t="s">
        <v>160</v>
      </c>
      <c r="G19" s="248">
        <f>'Form 2B.1 - Design'!U59</f>
        <v>0</v>
      </c>
      <c r="H19" s="248"/>
      <c r="I19" s="248"/>
      <c r="J19" s="248"/>
      <c r="K19" s="185" t="str">
        <f>'Form 2B.1 - Design'!Y59</f>
        <v>Units?</v>
      </c>
      <c r="L19" s="185"/>
      <c r="N19" s="2"/>
      <c r="T19" s="28"/>
      <c r="Z19" s="2" t="s">
        <v>160</v>
      </c>
      <c r="AA19" s="265"/>
      <c r="AB19" s="265"/>
      <c r="AC19" s="265"/>
      <c r="AD19" s="265"/>
      <c r="AE19" s="185" t="str">
        <f>K19</f>
        <v>Units?</v>
      </c>
      <c r="AF19" s="185"/>
      <c r="AH19" s="2"/>
      <c r="AV19" s="22"/>
      <c r="AW19" s="4" t="s">
        <v>104</v>
      </c>
      <c r="AX19" s="86" t="s">
        <v>319</v>
      </c>
      <c r="AY19" s="68"/>
    </row>
    <row r="20" spans="1:62" ht="4.95" customHeight="1" x14ac:dyDescent="0.3">
      <c r="E20" s="2"/>
      <c r="N20" s="2"/>
      <c r="T20" s="28"/>
      <c r="Y20" s="2"/>
      <c r="AH20" s="2"/>
      <c r="AY20" s="68"/>
    </row>
    <row r="21" spans="1:62" ht="14.55" customHeight="1" x14ac:dyDescent="0.3">
      <c r="F21" s="2" t="s">
        <v>174</v>
      </c>
      <c r="G21" s="27">
        <f>'Form 2B.1 - Design'!H61</f>
        <v>0</v>
      </c>
      <c r="H21" s="56" t="s">
        <v>176</v>
      </c>
      <c r="K21" s="27">
        <f>'Form 2B.1 - Design'!L61</f>
        <v>0</v>
      </c>
      <c r="L21" s="22" t="s">
        <v>119</v>
      </c>
      <c r="T21" s="28"/>
      <c r="Z21" s="2" t="s">
        <v>174</v>
      </c>
      <c r="AA21" s="15"/>
      <c r="AB21" s="56" t="s">
        <v>176</v>
      </c>
      <c r="AE21" s="15"/>
      <c r="AF21" s="22" t="s">
        <v>119</v>
      </c>
      <c r="AM21" s="91">
        <f>IF(ISBLANK(AA21),0,1)</f>
        <v>0</v>
      </c>
      <c r="AN21" s="91">
        <f>IF(AND(ISBLANK(AA21),ISBLANK(AE21)),1,2)</f>
        <v>1</v>
      </c>
      <c r="AX21" s="86" t="s">
        <v>261</v>
      </c>
      <c r="AY21" s="86"/>
      <c r="AZ21" s="86"/>
      <c r="BA21" s="86"/>
      <c r="BB21" s="86"/>
      <c r="BC21" s="86"/>
      <c r="BD21" s="86"/>
      <c r="BE21" s="86"/>
      <c r="BF21" s="86"/>
      <c r="BG21" s="86"/>
    </row>
    <row r="22" spans="1:62" ht="4.95" customHeight="1" x14ac:dyDescent="0.3">
      <c r="T22" s="28"/>
      <c r="AX22" s="103"/>
      <c r="AY22" s="86"/>
      <c r="AZ22" s="86"/>
      <c r="BA22" s="86"/>
      <c r="BB22" s="86"/>
      <c r="BC22" s="86"/>
      <c r="BD22" s="86"/>
      <c r="BE22" s="86"/>
      <c r="BF22" s="86"/>
      <c r="BG22" s="86"/>
    </row>
    <row r="23" spans="1:62" ht="14.55" customHeight="1" x14ac:dyDescent="0.3">
      <c r="F23" s="2" t="s">
        <v>161</v>
      </c>
      <c r="G23" s="252">
        <f>'Form 2B.1 - Design'!U61</f>
        <v>0</v>
      </c>
      <c r="H23" s="252"/>
      <c r="I23" s="252"/>
      <c r="J23" s="252"/>
      <c r="K23" s="185" t="str">
        <f>'Form 2B.1 - Design'!Y61</f>
        <v>Units?</v>
      </c>
      <c r="L23" s="185"/>
      <c r="T23" s="28"/>
      <c r="Z23" s="2" t="s">
        <v>161</v>
      </c>
      <c r="AA23" s="264"/>
      <c r="AB23" s="264"/>
      <c r="AC23" s="264"/>
      <c r="AD23" s="264"/>
      <c r="AE23" s="185" t="str">
        <f>K23</f>
        <v>Units?</v>
      </c>
      <c r="AF23" s="185"/>
      <c r="AW23" s="4" t="s">
        <v>102</v>
      </c>
      <c r="AX23" s="68" t="s">
        <v>95</v>
      </c>
      <c r="AY23" s="86"/>
      <c r="AZ23" s="86"/>
      <c r="BA23" s="86"/>
      <c r="BB23" s="86"/>
      <c r="BC23" s="86"/>
      <c r="BD23" s="86"/>
      <c r="BE23" s="86"/>
      <c r="BF23" s="86"/>
      <c r="BG23" s="86"/>
    </row>
    <row r="24" spans="1:62" ht="4.95" customHeight="1" x14ac:dyDescent="0.3">
      <c r="T24" s="28"/>
      <c r="AX24" s="49"/>
      <c r="AY24" s="49"/>
      <c r="AZ24" s="49"/>
      <c r="BA24" s="49"/>
      <c r="BB24" s="49"/>
      <c r="BC24" s="49"/>
      <c r="BD24" s="49"/>
      <c r="BE24" s="49"/>
      <c r="BF24" s="49"/>
      <c r="BG24" s="49"/>
    </row>
    <row r="25" spans="1:62" ht="14.55" customHeight="1" x14ac:dyDescent="0.3">
      <c r="D25" s="2" t="s">
        <v>165</v>
      </c>
      <c r="E25" s="27">
        <f>'Form 2B.1 - Design'!AF59</f>
        <v>0</v>
      </c>
      <c r="F25" s="56" t="s">
        <v>176</v>
      </c>
      <c r="H25" s="27">
        <f>'Form 2B.1 - Design'!AI59</f>
        <v>0</v>
      </c>
      <c r="I25" s="22" t="s">
        <v>119</v>
      </c>
      <c r="N25" s="2" t="s">
        <v>177</v>
      </c>
      <c r="O25" s="27">
        <f>'Form 2B.1 - Design'!AF61</f>
        <v>0</v>
      </c>
      <c r="P25" s="56" t="s">
        <v>176</v>
      </c>
      <c r="R25" s="27">
        <f>'Form 2B.1 - Design'!AI61</f>
        <v>0</v>
      </c>
      <c r="S25" s="22" t="s">
        <v>119</v>
      </c>
      <c r="T25" s="28"/>
      <c r="X25" s="2" t="s">
        <v>165</v>
      </c>
      <c r="Y25" s="15"/>
      <c r="Z25" s="56" t="s">
        <v>176</v>
      </c>
      <c r="AB25" s="15"/>
      <c r="AC25" s="22" t="s">
        <v>119</v>
      </c>
      <c r="AF25" s="2" t="s">
        <v>177</v>
      </c>
      <c r="AG25" s="15"/>
      <c r="AH25" s="56" t="s">
        <v>176</v>
      </c>
      <c r="AJ25" s="15"/>
      <c r="AK25" s="22" t="s">
        <v>119</v>
      </c>
      <c r="AM25" s="91">
        <f>IF(AND(ISBLANK(Y25),ISBLANK(AB25)),1,2)</f>
        <v>1</v>
      </c>
      <c r="AN25" s="91">
        <f>IF(AND(ISBLANK(AG25),ISBLANK(AJ25)),1,2)</f>
        <v>1</v>
      </c>
      <c r="AW25" s="4" t="s">
        <v>105</v>
      </c>
      <c r="AX25" s="22" t="s">
        <v>452</v>
      </c>
      <c r="AZ25" s="49"/>
      <c r="BA25" s="49"/>
      <c r="BB25" s="49"/>
      <c r="BC25" s="49"/>
      <c r="BD25" s="49"/>
      <c r="BE25" s="49"/>
      <c r="BF25" s="49"/>
      <c r="BG25" s="49"/>
    </row>
    <row r="26" spans="1:62" ht="4.95" customHeight="1" x14ac:dyDescent="0.3">
      <c r="AX26" s="103"/>
      <c r="AY26" s="68"/>
    </row>
    <row r="27" spans="1:62" ht="15" customHeight="1" x14ac:dyDescent="0.3">
      <c r="A27" s="246" t="s">
        <v>422</v>
      </c>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93"/>
      <c r="AN27" s="94"/>
      <c r="AV27" s="17">
        <f>AV13+1</f>
        <v>3</v>
      </c>
      <c r="AW27" s="68" t="s">
        <v>92</v>
      </c>
    </row>
    <row r="28" spans="1:62" ht="14.55" customHeight="1" x14ac:dyDescent="0.3">
      <c r="B28" s="1" t="s">
        <v>51</v>
      </c>
      <c r="C28" s="1"/>
      <c r="D28" s="1"/>
      <c r="E28" s="1"/>
      <c r="F28" s="1"/>
      <c r="G28" s="1"/>
      <c r="I28" s="1"/>
      <c r="J28" s="1"/>
      <c r="K28" s="1"/>
      <c r="L28" s="1"/>
      <c r="M28" s="1"/>
      <c r="N28" s="1"/>
      <c r="O28" s="1"/>
      <c r="P28" s="1"/>
      <c r="Q28" s="1"/>
      <c r="R28" s="1"/>
      <c r="S28" s="1"/>
      <c r="T28" s="1"/>
      <c r="U28" s="24"/>
      <c r="V28" s="1" t="s">
        <v>52</v>
      </c>
      <c r="X28" s="1"/>
      <c r="Y28" s="1"/>
      <c r="Z28" s="1"/>
      <c r="AA28" s="1"/>
      <c r="AB28" s="1"/>
      <c r="AC28" s="1"/>
      <c r="AD28" s="1"/>
      <c r="AE28" s="1"/>
      <c r="AF28" s="1"/>
      <c r="AG28" s="1"/>
      <c r="AH28" s="1"/>
      <c r="AI28" s="1"/>
      <c r="AJ28" s="50"/>
      <c r="AK28" s="50"/>
      <c r="AW28" s="4" t="s">
        <v>90</v>
      </c>
      <c r="AX28" s="68" t="s">
        <v>200</v>
      </c>
    </row>
    <row r="29" spans="1:62" ht="14.55" customHeight="1" x14ac:dyDescent="0.3">
      <c r="C29" s="2"/>
      <c r="D29" s="2" t="s">
        <v>183</v>
      </c>
      <c r="E29" s="235">
        <f>'Form 2B.1 - Design'!F63</f>
        <v>0</v>
      </c>
      <c r="F29" s="235"/>
      <c r="G29" s="235"/>
      <c r="H29" s="235"/>
      <c r="M29" s="2" t="s">
        <v>184</v>
      </c>
      <c r="N29" s="210">
        <f>'Form 2B.1 - Design'!P63</f>
        <v>0</v>
      </c>
      <c r="O29" s="210"/>
      <c r="P29" s="210"/>
      <c r="Q29" s="210"/>
      <c r="U29" s="24"/>
      <c r="X29" s="2" t="s">
        <v>183</v>
      </c>
      <c r="Y29" s="204"/>
      <c r="Z29" s="204"/>
      <c r="AA29" s="204"/>
      <c r="AB29" s="204"/>
      <c r="AC29" s="1"/>
      <c r="AG29" s="2" t="s">
        <v>30</v>
      </c>
      <c r="AH29" s="204"/>
      <c r="AI29" s="204"/>
      <c r="AJ29" s="204"/>
      <c r="AK29" s="204"/>
      <c r="AW29" s="4" t="s">
        <v>91</v>
      </c>
      <c r="AX29" s="68" t="s">
        <v>99</v>
      </c>
      <c r="AZ29" s="68"/>
      <c r="BA29" s="68"/>
      <c r="BB29" s="68"/>
      <c r="BC29" s="68"/>
      <c r="BD29" s="68"/>
      <c r="BE29" s="68"/>
      <c r="BF29" s="68"/>
      <c r="BG29" s="68"/>
      <c r="BH29" s="106"/>
      <c r="BI29" s="106"/>
      <c r="BJ29" s="106"/>
    </row>
    <row r="30" spans="1:62" ht="14.55" customHeight="1" x14ac:dyDescent="0.3">
      <c r="C30" s="2"/>
      <c r="D30" s="2" t="s">
        <v>182</v>
      </c>
      <c r="E30" s="249">
        <f>'Form 2B.1 - Design'!F64</f>
        <v>0</v>
      </c>
      <c r="F30" s="249"/>
      <c r="G30" s="249"/>
      <c r="H30" s="8" t="s">
        <v>39</v>
      </c>
      <c r="U30" s="24"/>
      <c r="X30" s="2" t="s">
        <v>182</v>
      </c>
      <c r="Y30" s="211"/>
      <c r="Z30" s="211"/>
      <c r="AA30" s="211"/>
      <c r="AB30" s="22" t="s">
        <v>39</v>
      </c>
      <c r="AM30" s="91">
        <f>IF(ISBLANK(Y30),1,2)</f>
        <v>1</v>
      </c>
      <c r="AV30" s="22"/>
      <c r="AX30" s="103" t="s">
        <v>106</v>
      </c>
      <c r="AY30" s="68" t="s">
        <v>247</v>
      </c>
      <c r="AZ30" s="68"/>
      <c r="BA30" s="68"/>
      <c r="BB30" s="68"/>
      <c r="BC30" s="68"/>
      <c r="BD30" s="68"/>
      <c r="BE30" s="68"/>
      <c r="BF30" s="68"/>
      <c r="BG30" s="68"/>
      <c r="BH30" s="106"/>
      <c r="BI30" s="106"/>
      <c r="BJ30" s="106"/>
    </row>
    <row r="31" spans="1:62" ht="14.55" customHeight="1" x14ac:dyDescent="0.3">
      <c r="C31" s="2"/>
      <c r="D31" s="2" t="s">
        <v>181</v>
      </c>
      <c r="E31" s="249">
        <f>'Form 2B.1 - Design'!F65</f>
        <v>0</v>
      </c>
      <c r="F31" s="249"/>
      <c r="G31" s="249"/>
      <c r="H31" s="8" t="s">
        <v>39</v>
      </c>
      <c r="M31" s="2" t="s">
        <v>185</v>
      </c>
      <c r="N31" s="250">
        <f>'Form 2B.1 - Design'!P65</f>
        <v>0</v>
      </c>
      <c r="O31" s="250"/>
      <c r="P31" s="250"/>
      <c r="Q31" s="22" t="s">
        <v>39</v>
      </c>
      <c r="U31" s="24"/>
      <c r="X31" s="2" t="s">
        <v>181</v>
      </c>
      <c r="Y31" s="211"/>
      <c r="Z31" s="211"/>
      <c r="AA31" s="211"/>
      <c r="AB31" s="22" t="s">
        <v>39</v>
      </c>
      <c r="AG31" s="2" t="s">
        <v>40</v>
      </c>
      <c r="AH31" s="209"/>
      <c r="AI31" s="209"/>
      <c r="AJ31" s="209"/>
      <c r="AK31" s="22" t="s">
        <v>39</v>
      </c>
      <c r="AM31" s="91">
        <f>IF(AND(ISBLANK(Y31),ISBLANK(AH31)),1,2)</f>
        <v>1</v>
      </c>
      <c r="AV31" s="22"/>
      <c r="AX31" s="103" t="s">
        <v>106</v>
      </c>
      <c r="AY31" s="68" t="s">
        <v>125</v>
      </c>
      <c r="AZ31" s="68"/>
      <c r="BA31" s="68"/>
      <c r="BB31" s="68"/>
      <c r="BC31" s="68"/>
      <c r="BD31" s="68"/>
      <c r="BE31" s="68"/>
      <c r="BF31" s="68"/>
      <c r="BG31" s="68"/>
    </row>
    <row r="32" spans="1:62" ht="14.55" customHeight="1" x14ac:dyDescent="0.3">
      <c r="C32" s="2"/>
      <c r="D32" s="2" t="s">
        <v>180</v>
      </c>
      <c r="E32" s="249">
        <f>'Form 2B.1 - Design'!F67</f>
        <v>0</v>
      </c>
      <c r="F32" s="249"/>
      <c r="G32" s="249"/>
      <c r="H32" s="8" t="s">
        <v>39</v>
      </c>
      <c r="M32" s="2" t="s">
        <v>186</v>
      </c>
      <c r="N32" s="249">
        <f>'Form 2B.1 - Design'!P67</f>
        <v>0</v>
      </c>
      <c r="O32" s="249"/>
      <c r="P32" s="249"/>
      <c r="Q32" s="22" t="s">
        <v>39</v>
      </c>
      <c r="U32" s="24"/>
      <c r="X32" s="2" t="s">
        <v>180</v>
      </c>
      <c r="Y32" s="211"/>
      <c r="Z32" s="211"/>
      <c r="AA32" s="211"/>
      <c r="AB32" s="22" t="s">
        <v>39</v>
      </c>
      <c r="AG32" s="2" t="s">
        <v>41</v>
      </c>
      <c r="AH32" s="211"/>
      <c r="AI32" s="211"/>
      <c r="AJ32" s="211"/>
      <c r="AK32" s="22" t="s">
        <v>39</v>
      </c>
      <c r="AX32" s="103" t="s">
        <v>106</v>
      </c>
      <c r="AY32" s="22" t="s">
        <v>191</v>
      </c>
      <c r="AZ32" s="68"/>
      <c r="BA32" s="68"/>
      <c r="BB32" s="68"/>
      <c r="BC32" s="68"/>
      <c r="BD32" s="68"/>
      <c r="BE32" s="68"/>
      <c r="BF32" s="68"/>
      <c r="BG32" s="68"/>
    </row>
    <row r="33" spans="2:59" ht="4.95" customHeight="1" x14ac:dyDescent="0.3">
      <c r="C33" s="2"/>
      <c r="D33" s="2"/>
      <c r="E33" s="2"/>
      <c r="F33" s="2"/>
      <c r="G33" s="2"/>
      <c r="H33" s="11"/>
      <c r="I33" s="8"/>
      <c r="M33" s="2"/>
      <c r="N33" s="12"/>
      <c r="O33" s="12"/>
      <c r="P33" s="12"/>
      <c r="U33" s="24"/>
      <c r="Z33" s="2"/>
      <c r="AA33" s="25"/>
      <c r="AB33" s="25"/>
      <c r="AC33" s="25"/>
      <c r="AH33" s="2"/>
      <c r="AI33" s="26"/>
      <c r="AJ33" s="26"/>
      <c r="AK33" s="26"/>
      <c r="AZ33" s="68"/>
      <c r="BA33" s="68"/>
      <c r="BB33" s="68"/>
      <c r="BC33" s="68"/>
      <c r="BD33" s="68"/>
      <c r="BE33" s="68"/>
      <c r="BF33" s="68"/>
      <c r="BG33" s="68"/>
    </row>
    <row r="34" spans="2:59" ht="14.55" customHeight="1" x14ac:dyDescent="0.3">
      <c r="C34" s="2"/>
      <c r="D34" s="2" t="s">
        <v>164</v>
      </c>
      <c r="E34" s="27">
        <f>'Form 2B.1 - Design'!AF65</f>
        <v>0</v>
      </c>
      <c r="F34" s="22" t="s">
        <v>118</v>
      </c>
      <c r="I34" s="27">
        <f>'Form 2B.1 - Design'!AI65</f>
        <v>0</v>
      </c>
      <c r="J34" s="22" t="s">
        <v>119</v>
      </c>
      <c r="U34" s="24"/>
      <c r="X34" s="2" t="s">
        <v>164</v>
      </c>
      <c r="Y34" s="15"/>
      <c r="Z34" s="22" t="s">
        <v>118</v>
      </c>
      <c r="AC34" s="15"/>
      <c r="AD34" s="22" t="s">
        <v>119</v>
      </c>
      <c r="AM34" s="91">
        <f>IF(AND(ISBLANK(Y34),ISBLANK(AC34)),1,2)</f>
        <v>1</v>
      </c>
      <c r="AX34" s="103" t="s">
        <v>106</v>
      </c>
      <c r="AY34" s="22" t="str">
        <f>Tables!F24</f>
        <v xml:space="preserve"> O&amp;M Plan</v>
      </c>
      <c r="AZ34" s="68"/>
      <c r="BA34" s="68"/>
      <c r="BB34" s="68"/>
      <c r="BC34" s="68"/>
      <c r="BD34" s="68"/>
      <c r="BE34" s="68"/>
      <c r="BF34" s="68"/>
      <c r="BG34" s="68"/>
    </row>
    <row r="35" spans="2:59" ht="4.95" customHeight="1" x14ac:dyDescent="0.3">
      <c r="B35" s="2"/>
      <c r="C35" s="2"/>
      <c r="D35" s="2"/>
      <c r="E35" s="2"/>
      <c r="F35" s="2"/>
      <c r="G35" s="2"/>
      <c r="U35" s="24"/>
      <c r="Z35" s="2"/>
      <c r="AZ35" s="107"/>
      <c r="BA35" s="107"/>
      <c r="BB35" s="107"/>
      <c r="BC35" s="107"/>
      <c r="BD35" s="107"/>
      <c r="BE35" s="107"/>
      <c r="BF35" s="107"/>
      <c r="BG35" s="107"/>
    </row>
    <row r="36" spans="2:59" ht="14.55" customHeight="1" x14ac:dyDescent="0.3">
      <c r="E36" s="13" t="s">
        <v>31</v>
      </c>
      <c r="H36" s="4"/>
      <c r="J36" s="4" t="s">
        <v>280</v>
      </c>
      <c r="K36" s="4"/>
      <c r="L36" s="4"/>
      <c r="N36" s="4" t="s">
        <v>281</v>
      </c>
      <c r="O36" s="4"/>
      <c r="R36" s="4" t="s">
        <v>37</v>
      </c>
      <c r="S36" s="4"/>
      <c r="U36" s="24"/>
      <c r="W36" s="13" t="s">
        <v>31</v>
      </c>
      <c r="X36" s="4"/>
      <c r="Y36" s="4"/>
      <c r="Z36" s="4"/>
      <c r="AB36" s="4" t="s">
        <v>280</v>
      </c>
      <c r="AC36" s="4"/>
      <c r="AD36" s="4"/>
      <c r="AF36" s="4" t="s">
        <v>281</v>
      </c>
      <c r="AG36" s="4"/>
      <c r="AJ36" s="4" t="s">
        <v>37</v>
      </c>
      <c r="AK36" s="4"/>
      <c r="AV36" s="17">
        <v>4</v>
      </c>
      <c r="AW36" s="68" t="s">
        <v>87</v>
      </c>
      <c r="AZ36" s="68"/>
      <c r="BA36" s="68"/>
      <c r="BB36" s="68"/>
      <c r="BC36" s="68"/>
      <c r="BD36" s="68"/>
      <c r="BE36" s="68"/>
      <c r="BF36" s="68"/>
      <c r="BG36" s="68"/>
    </row>
    <row r="37" spans="2:59" ht="14.55" customHeight="1" x14ac:dyDescent="0.3">
      <c r="C37" s="2"/>
      <c r="D37" s="2" t="s">
        <v>179</v>
      </c>
      <c r="E37" s="210">
        <f>'Form 2B.1 - Design'!F69</f>
        <v>0</v>
      </c>
      <c r="F37" s="210"/>
      <c r="G37" s="210"/>
      <c r="I37" s="250">
        <f>'Form 2B.1 - Design'!K69</f>
        <v>0</v>
      </c>
      <c r="J37" s="250"/>
      <c r="K37" s="250"/>
      <c r="L37" s="22" t="s">
        <v>38</v>
      </c>
      <c r="M37" s="250">
        <f>'Form 2B.1 - Design'!P69</f>
        <v>0</v>
      </c>
      <c r="N37" s="250"/>
      <c r="O37" s="250"/>
      <c r="P37" s="22" t="s">
        <v>38</v>
      </c>
      <c r="Q37" s="250">
        <f>'Form 2B.1 - Design'!U69</f>
        <v>0</v>
      </c>
      <c r="R37" s="250"/>
      <c r="S37" s="250"/>
      <c r="T37" s="22" t="s">
        <v>39</v>
      </c>
      <c r="U37" s="24"/>
      <c r="W37" s="204"/>
      <c r="X37" s="204"/>
      <c r="Y37" s="204"/>
      <c r="AA37" s="209"/>
      <c r="AB37" s="209"/>
      <c r="AC37" s="209"/>
      <c r="AD37" s="22" t="s">
        <v>38</v>
      </c>
      <c r="AE37" s="209"/>
      <c r="AF37" s="209"/>
      <c r="AG37" s="209"/>
      <c r="AH37" s="22" t="s">
        <v>38</v>
      </c>
      <c r="AI37" s="209"/>
      <c r="AJ37" s="209"/>
      <c r="AK37" s="209"/>
      <c r="AL37" s="22" t="s">
        <v>39</v>
      </c>
      <c r="AM37" s="91">
        <f>IF(ISBLANK(W37),1,2)</f>
        <v>1</v>
      </c>
      <c r="AW37" s="4" t="s">
        <v>90</v>
      </c>
      <c r="AX37" s="22" t="s">
        <v>384</v>
      </c>
      <c r="AZ37" s="106"/>
      <c r="BA37" s="106"/>
      <c r="BB37" s="106"/>
      <c r="BC37" s="106"/>
      <c r="BD37" s="106"/>
      <c r="BE37" s="106"/>
      <c r="BF37" s="106"/>
      <c r="BG37" s="106"/>
    </row>
    <row r="38" spans="2:59" ht="14.55" customHeight="1" x14ac:dyDescent="0.3">
      <c r="C38" s="2"/>
      <c r="D38" s="2" t="s">
        <v>178</v>
      </c>
      <c r="E38" s="260">
        <f>'Form 2B.1 - Design'!F71</f>
        <v>0</v>
      </c>
      <c r="F38" s="260"/>
      <c r="G38" s="260"/>
      <c r="I38" s="249">
        <f>'Form 2B.1 - Design'!K71</f>
        <v>0</v>
      </c>
      <c r="J38" s="249"/>
      <c r="K38" s="249"/>
      <c r="L38" s="22" t="str">
        <f>'Form 2B.1 - Design'!N71</f>
        <v>in</v>
      </c>
      <c r="M38" s="249">
        <f>'Form 2B.1 - Design'!P71</f>
        <v>0</v>
      </c>
      <c r="N38" s="249"/>
      <c r="O38" s="249"/>
      <c r="P38" s="22" t="s">
        <v>38</v>
      </c>
      <c r="Q38" s="249">
        <f>'Form 2B.1 - Design'!U71</f>
        <v>0</v>
      </c>
      <c r="R38" s="249"/>
      <c r="S38" s="249"/>
      <c r="T38" s="22" t="s">
        <v>39</v>
      </c>
      <c r="U38" s="24"/>
      <c r="W38" s="205"/>
      <c r="X38" s="205"/>
      <c r="Y38" s="205"/>
      <c r="AA38" s="211"/>
      <c r="AB38" s="211"/>
      <c r="AC38" s="211"/>
      <c r="AD38" s="22" t="str">
        <f>IF(W38="V-notch","deg","in")</f>
        <v>in</v>
      </c>
      <c r="AE38" s="211"/>
      <c r="AF38" s="211"/>
      <c r="AG38" s="211"/>
      <c r="AH38" s="22" t="s">
        <v>38</v>
      </c>
      <c r="AI38" s="211"/>
      <c r="AJ38" s="211"/>
      <c r="AK38" s="211"/>
      <c r="AL38" s="22" t="s">
        <v>39</v>
      </c>
      <c r="AM38" s="91">
        <f>IF(ISBLANK(W38),1,2)</f>
        <v>1</v>
      </c>
      <c r="AW38" s="4" t="s">
        <v>91</v>
      </c>
      <c r="AX38" s="68" t="s">
        <v>219</v>
      </c>
      <c r="AZ38" s="106"/>
      <c r="BA38" s="106"/>
      <c r="BB38" s="106"/>
      <c r="BC38" s="106"/>
      <c r="BD38" s="106"/>
      <c r="BE38" s="106"/>
      <c r="BF38" s="106"/>
      <c r="BG38" s="106"/>
    </row>
    <row r="39" spans="2:59" ht="4.95" customHeight="1" x14ac:dyDescent="0.3">
      <c r="C39" s="2"/>
      <c r="D39" s="2"/>
      <c r="E39" s="2"/>
      <c r="F39" s="2"/>
      <c r="G39" s="2"/>
      <c r="H39" s="8"/>
      <c r="J39" s="12"/>
      <c r="K39" s="12"/>
      <c r="L39" s="12"/>
      <c r="N39" s="12"/>
      <c r="O39" s="12"/>
      <c r="P39" s="12"/>
      <c r="R39" s="12"/>
      <c r="S39" s="12"/>
      <c r="T39" s="12"/>
      <c r="U39" s="24"/>
      <c r="AA39" s="26"/>
      <c r="AB39" s="26"/>
      <c r="AC39" s="26"/>
      <c r="AE39" s="26"/>
      <c r="AF39" s="26"/>
      <c r="AG39" s="26"/>
      <c r="AI39" s="26"/>
      <c r="AJ39" s="26"/>
      <c r="AK39" s="26"/>
    </row>
    <row r="40" spans="2:59" ht="14.55" customHeight="1" x14ac:dyDescent="0.3">
      <c r="D40" s="2" t="s">
        <v>315</v>
      </c>
      <c r="E40" s="27">
        <f>'Form 2B.1 - Design'!AF71</f>
        <v>0</v>
      </c>
      <c r="F40" s="22" t="s">
        <v>118</v>
      </c>
      <c r="I40" s="27">
        <f>'Form 2B.1 - Design'!AI71</f>
        <v>0</v>
      </c>
      <c r="J40" s="22" t="s">
        <v>119</v>
      </c>
      <c r="U40" s="24"/>
      <c r="X40" s="2" t="s">
        <v>315</v>
      </c>
      <c r="Y40" s="15"/>
      <c r="Z40" s="22" t="s">
        <v>118</v>
      </c>
      <c r="AC40" s="15"/>
      <c r="AD40" s="22" t="s">
        <v>119</v>
      </c>
      <c r="AM40" s="91">
        <f>IF(AND(ISBLANK(Y40),ISBLANK(AC40)),1,2)</f>
        <v>1</v>
      </c>
      <c r="AN40" s="89">
        <f>IF(ISBLANK(AC40),1,2)</f>
        <v>1</v>
      </c>
      <c r="AW40" s="4" t="s">
        <v>103</v>
      </c>
      <c r="AX40" s="68" t="s">
        <v>321</v>
      </c>
    </row>
    <row r="41" spans="2:59" ht="4.95" customHeight="1" x14ac:dyDescent="0.3">
      <c r="D41" s="2"/>
      <c r="E41" s="2"/>
      <c r="F41" s="2"/>
      <c r="G41" s="2"/>
      <c r="U41" s="24"/>
      <c r="W41" s="2"/>
      <c r="X41" s="2"/>
      <c r="Y41" s="2"/>
      <c r="AY41" s="68"/>
    </row>
    <row r="42" spans="2:59" ht="14.55" customHeight="1" x14ac:dyDescent="0.3">
      <c r="D42" s="2" t="str">
        <f>'Form 2B.1 - Design'!C73</f>
        <v xml:space="preserve">Select: </v>
      </c>
      <c r="E42" s="235">
        <f>'Form 2B.1 - Design'!F73</f>
        <v>0</v>
      </c>
      <c r="F42" s="235"/>
      <c r="G42" s="235"/>
      <c r="I42" s="250">
        <f>'Form 2B.1 - Design'!K73</f>
        <v>0</v>
      </c>
      <c r="J42" s="250"/>
      <c r="K42" s="250"/>
      <c r="L42" s="22" t="str">
        <f>'Form 2B.1 - Design'!N73</f>
        <v>in</v>
      </c>
      <c r="M42" s="250">
        <f>'Form 2B.1 - Design'!P73</f>
        <v>0</v>
      </c>
      <c r="N42" s="250"/>
      <c r="O42" s="250"/>
      <c r="P42" s="22" t="s">
        <v>38</v>
      </c>
      <c r="Q42" s="250">
        <f>'Form 2B.1 - Design'!U73</f>
        <v>0</v>
      </c>
      <c r="R42" s="250"/>
      <c r="S42" s="250"/>
      <c r="T42" s="22" t="s">
        <v>39</v>
      </c>
      <c r="U42" s="24"/>
      <c r="W42" s="204"/>
      <c r="X42" s="204"/>
      <c r="Y42" s="204"/>
      <c r="AA42" s="209"/>
      <c r="AB42" s="209"/>
      <c r="AC42" s="209"/>
      <c r="AD42" s="22" t="str">
        <f>IF(W42="V-notch","deg","in")</f>
        <v>in</v>
      </c>
      <c r="AE42" s="209"/>
      <c r="AF42" s="209"/>
      <c r="AG42" s="209"/>
      <c r="AH42" s="22" t="s">
        <v>38</v>
      </c>
      <c r="AI42" s="209"/>
      <c r="AJ42" s="209"/>
      <c r="AK42" s="209"/>
      <c r="AL42" s="22" t="s">
        <v>39</v>
      </c>
      <c r="AM42" s="91">
        <f t="shared" ref="AM42:AM48" si="0">IF(ISBLANK(W42),1,2)</f>
        <v>1</v>
      </c>
      <c r="AV42" s="22"/>
      <c r="AW42" s="4" t="s">
        <v>104</v>
      </c>
      <c r="AX42" s="68" t="s">
        <v>96</v>
      </c>
    </row>
    <row r="43" spans="2:59" ht="14.55" customHeight="1" x14ac:dyDescent="0.3">
      <c r="D43" s="2" t="str">
        <f>'Form 2B.1 - Design'!C75</f>
        <v xml:space="preserve">Select: </v>
      </c>
      <c r="E43" s="237">
        <f>'Form 2B.1 - Design'!F75</f>
        <v>0</v>
      </c>
      <c r="F43" s="237"/>
      <c r="G43" s="237"/>
      <c r="I43" s="249">
        <f>'Form 2B.1 - Design'!K75</f>
        <v>0</v>
      </c>
      <c r="J43" s="249"/>
      <c r="K43" s="249"/>
      <c r="L43" s="22" t="str">
        <f>'Form 2B.1 - Design'!N75</f>
        <v>in</v>
      </c>
      <c r="M43" s="249">
        <f>'Form 2B.1 - Design'!P75</f>
        <v>0</v>
      </c>
      <c r="N43" s="249"/>
      <c r="O43" s="249"/>
      <c r="P43" s="22" t="s">
        <v>38</v>
      </c>
      <c r="Q43" s="249">
        <f>'Form 2B.1 - Design'!U75</f>
        <v>0</v>
      </c>
      <c r="R43" s="249"/>
      <c r="S43" s="249"/>
      <c r="T43" s="22" t="s">
        <v>39</v>
      </c>
      <c r="U43" s="24"/>
      <c r="W43" s="204"/>
      <c r="X43" s="204"/>
      <c r="Y43" s="204"/>
      <c r="AA43" s="211"/>
      <c r="AB43" s="211"/>
      <c r="AC43" s="211"/>
      <c r="AD43" s="22" t="str">
        <f t="shared" ref="AD43:AD48" si="1">IF(W43="V-notch","deg","in")</f>
        <v>in</v>
      </c>
      <c r="AE43" s="211"/>
      <c r="AF43" s="211"/>
      <c r="AG43" s="211"/>
      <c r="AH43" s="22" t="s">
        <v>38</v>
      </c>
      <c r="AI43" s="211"/>
      <c r="AJ43" s="211"/>
      <c r="AK43" s="211"/>
      <c r="AL43" s="22" t="s">
        <v>39</v>
      </c>
      <c r="AM43" s="91">
        <f t="shared" si="0"/>
        <v>1</v>
      </c>
      <c r="AV43" s="22"/>
      <c r="AW43" s="4" t="s">
        <v>102</v>
      </c>
      <c r="AX43" s="68" t="s">
        <v>97</v>
      </c>
      <c r="AZ43" s="21"/>
      <c r="BA43" s="21"/>
      <c r="BB43" s="21"/>
      <c r="BC43" s="21"/>
      <c r="BD43" s="21"/>
      <c r="BE43" s="21"/>
      <c r="BF43" s="21"/>
      <c r="BG43" s="21"/>
    </row>
    <row r="44" spans="2:59" ht="14.55" customHeight="1" x14ac:dyDescent="0.3">
      <c r="D44" s="2" t="str">
        <f>'Form 2B.1 - Design'!C76</f>
        <v xml:space="preserve">Select: </v>
      </c>
      <c r="E44" s="237">
        <f>'Form 2B.1 - Design'!F76</f>
        <v>0</v>
      </c>
      <c r="F44" s="237"/>
      <c r="G44" s="237"/>
      <c r="I44" s="249">
        <f>'Form 2B.1 - Design'!K76</f>
        <v>0</v>
      </c>
      <c r="J44" s="249"/>
      <c r="K44" s="249"/>
      <c r="L44" s="22" t="str">
        <f>'Form 2B.1 - Design'!N76</f>
        <v>in</v>
      </c>
      <c r="M44" s="249">
        <f>'Form 2B.1 - Design'!P76</f>
        <v>0</v>
      </c>
      <c r="N44" s="249"/>
      <c r="O44" s="249"/>
      <c r="P44" s="22" t="s">
        <v>38</v>
      </c>
      <c r="Q44" s="249">
        <f>'Form 2B.1 - Design'!U76</f>
        <v>0</v>
      </c>
      <c r="R44" s="249"/>
      <c r="S44" s="249"/>
      <c r="T44" s="22" t="s">
        <v>39</v>
      </c>
      <c r="U44" s="24"/>
      <c r="W44" s="204"/>
      <c r="X44" s="204"/>
      <c r="Y44" s="204"/>
      <c r="AA44" s="211"/>
      <c r="AB44" s="211"/>
      <c r="AC44" s="211"/>
      <c r="AD44" s="22" t="str">
        <f t="shared" si="1"/>
        <v>in</v>
      </c>
      <c r="AE44" s="211"/>
      <c r="AF44" s="211"/>
      <c r="AG44" s="211"/>
      <c r="AH44" s="22" t="s">
        <v>38</v>
      </c>
      <c r="AI44" s="211"/>
      <c r="AJ44" s="211"/>
      <c r="AK44" s="211"/>
      <c r="AL44" s="22" t="s">
        <v>39</v>
      </c>
      <c r="AM44" s="91">
        <f t="shared" si="0"/>
        <v>1</v>
      </c>
      <c r="AV44" s="22"/>
      <c r="AW44" s="4" t="s">
        <v>105</v>
      </c>
      <c r="AX44" s="68" t="s">
        <v>220</v>
      </c>
      <c r="AZ44" s="21"/>
      <c r="BA44" s="21"/>
      <c r="BB44" s="21"/>
      <c r="BC44" s="21"/>
      <c r="BD44" s="21"/>
      <c r="BE44" s="21"/>
      <c r="BF44" s="21"/>
      <c r="BG44" s="21"/>
    </row>
    <row r="45" spans="2:59" ht="14.55" customHeight="1" x14ac:dyDescent="0.3">
      <c r="D45" s="2" t="str">
        <f>'Form 2B.1 - Design'!C77</f>
        <v xml:space="preserve">Select: </v>
      </c>
      <c r="E45" s="237">
        <f>'Form 2B.1 - Design'!F77</f>
        <v>0</v>
      </c>
      <c r="F45" s="237"/>
      <c r="G45" s="237"/>
      <c r="I45" s="249">
        <f>'Form 2B.1 - Design'!K77</f>
        <v>0</v>
      </c>
      <c r="J45" s="249"/>
      <c r="K45" s="249"/>
      <c r="L45" s="22" t="str">
        <f>'Form 2B.1 - Design'!N77</f>
        <v>in</v>
      </c>
      <c r="M45" s="249">
        <f>'Form 2B.1 - Design'!P77</f>
        <v>0</v>
      </c>
      <c r="N45" s="249"/>
      <c r="O45" s="249"/>
      <c r="P45" s="22" t="s">
        <v>38</v>
      </c>
      <c r="Q45" s="249">
        <f>'Form 2B.1 - Design'!U77</f>
        <v>0</v>
      </c>
      <c r="R45" s="249"/>
      <c r="S45" s="249"/>
      <c r="T45" s="22" t="s">
        <v>39</v>
      </c>
      <c r="U45" s="24"/>
      <c r="W45" s="204"/>
      <c r="X45" s="204"/>
      <c r="Y45" s="204"/>
      <c r="AA45" s="211"/>
      <c r="AB45" s="211"/>
      <c r="AC45" s="211"/>
      <c r="AD45" s="22" t="str">
        <f t="shared" si="1"/>
        <v>in</v>
      </c>
      <c r="AE45" s="211"/>
      <c r="AF45" s="211"/>
      <c r="AG45" s="211"/>
      <c r="AH45" s="22" t="s">
        <v>38</v>
      </c>
      <c r="AI45" s="211"/>
      <c r="AJ45" s="211"/>
      <c r="AK45" s="211"/>
      <c r="AL45" s="22" t="s">
        <v>39</v>
      </c>
      <c r="AM45" s="91">
        <f t="shared" si="0"/>
        <v>1</v>
      </c>
      <c r="AW45" s="4" t="s">
        <v>320</v>
      </c>
      <c r="AX45" s="68" t="s">
        <v>221</v>
      </c>
      <c r="AZ45" s="21"/>
      <c r="BA45" s="21"/>
      <c r="BB45" s="21"/>
      <c r="BC45" s="21"/>
      <c r="BD45" s="21"/>
      <c r="BE45" s="21"/>
      <c r="BF45" s="21"/>
      <c r="BG45" s="21"/>
    </row>
    <row r="46" spans="2:59" ht="14.55" customHeight="1" x14ac:dyDescent="0.3">
      <c r="D46" s="2" t="str">
        <f>'Form 2B.1 - Design'!C78</f>
        <v xml:space="preserve">Select: </v>
      </c>
      <c r="E46" s="237">
        <f>'Form 2B.1 - Design'!F78</f>
        <v>0</v>
      </c>
      <c r="F46" s="237"/>
      <c r="G46" s="237"/>
      <c r="I46" s="249">
        <f>'Form 2B.1 - Design'!K78</f>
        <v>0</v>
      </c>
      <c r="J46" s="249"/>
      <c r="K46" s="249"/>
      <c r="L46" s="22" t="str">
        <f>'Form 2B.1 - Design'!N78</f>
        <v>in</v>
      </c>
      <c r="M46" s="249">
        <f>'Form 2B.1 - Design'!P78</f>
        <v>0</v>
      </c>
      <c r="N46" s="249"/>
      <c r="O46" s="249"/>
      <c r="P46" s="22" t="s">
        <v>38</v>
      </c>
      <c r="Q46" s="249">
        <f>'Form 2B.1 - Design'!U78</f>
        <v>0</v>
      </c>
      <c r="R46" s="249"/>
      <c r="S46" s="249"/>
      <c r="T46" s="22" t="s">
        <v>39</v>
      </c>
      <c r="U46" s="24"/>
      <c r="W46" s="204"/>
      <c r="X46" s="204"/>
      <c r="Y46" s="204"/>
      <c r="AA46" s="211"/>
      <c r="AB46" s="211"/>
      <c r="AC46" s="211"/>
      <c r="AD46" s="22" t="str">
        <f t="shared" si="1"/>
        <v>in</v>
      </c>
      <c r="AE46" s="211"/>
      <c r="AF46" s="211"/>
      <c r="AG46" s="211"/>
      <c r="AH46" s="22" t="s">
        <v>38</v>
      </c>
      <c r="AI46" s="211"/>
      <c r="AJ46" s="211"/>
      <c r="AK46" s="211"/>
      <c r="AL46" s="22" t="s">
        <v>39</v>
      </c>
      <c r="AM46" s="91">
        <f t="shared" si="0"/>
        <v>1</v>
      </c>
      <c r="AV46" s="17">
        <v>5</v>
      </c>
      <c r="AW46" s="68" t="str">
        <f>"Form 3B – Retention Pond As-built Certification Form shall be approved by the "&amp;Tables!F23&amp;" prior to:"</f>
        <v>Form 3B – Retention Pond As-built Certification Form shall be approved by the County prior to:</v>
      </c>
      <c r="AY46" s="68"/>
      <c r="BA46" s="21"/>
      <c r="BB46" s="21"/>
      <c r="BC46" s="21"/>
      <c r="BD46" s="21"/>
      <c r="BE46" s="21"/>
      <c r="BF46" s="21"/>
      <c r="BG46" s="21"/>
    </row>
    <row r="47" spans="2:59" ht="14.55" customHeight="1" x14ac:dyDescent="0.3">
      <c r="D47" s="2" t="str">
        <f>'Form 2B.1 - Design'!C79</f>
        <v xml:space="preserve">Select: </v>
      </c>
      <c r="E47" s="237">
        <f>'Form 2B.1 - Design'!F79</f>
        <v>0</v>
      </c>
      <c r="F47" s="237"/>
      <c r="G47" s="237"/>
      <c r="I47" s="249">
        <f>'Form 2B.1 - Design'!K79</f>
        <v>0</v>
      </c>
      <c r="J47" s="249"/>
      <c r="K47" s="249"/>
      <c r="L47" s="22" t="str">
        <f>'Form 2B.1 - Design'!N79</f>
        <v>in</v>
      </c>
      <c r="M47" s="249">
        <f>'Form 2B.1 - Design'!P79</f>
        <v>0</v>
      </c>
      <c r="N47" s="249"/>
      <c r="O47" s="249"/>
      <c r="P47" s="22" t="s">
        <v>38</v>
      </c>
      <c r="Q47" s="249">
        <f>'Form 2B.1 - Design'!U79</f>
        <v>0</v>
      </c>
      <c r="R47" s="249"/>
      <c r="S47" s="249"/>
      <c r="T47" s="22" t="s">
        <v>39</v>
      </c>
      <c r="U47" s="24"/>
      <c r="W47" s="204"/>
      <c r="X47" s="204"/>
      <c r="Y47" s="204"/>
      <c r="AA47" s="211"/>
      <c r="AB47" s="211"/>
      <c r="AC47" s="211"/>
      <c r="AD47" s="22" t="str">
        <f t="shared" si="1"/>
        <v>in</v>
      </c>
      <c r="AE47" s="211"/>
      <c r="AF47" s="211"/>
      <c r="AG47" s="211"/>
      <c r="AH47" s="22" t="s">
        <v>38</v>
      </c>
      <c r="AI47" s="211"/>
      <c r="AJ47" s="211"/>
      <c r="AK47" s="211"/>
      <c r="AL47" s="22" t="s">
        <v>39</v>
      </c>
      <c r="AM47" s="91">
        <f t="shared" si="0"/>
        <v>1</v>
      </c>
      <c r="AW47" s="4" t="s">
        <v>90</v>
      </c>
      <c r="AX47" s="68" t="s">
        <v>101</v>
      </c>
      <c r="AY47" s="106"/>
      <c r="BA47" s="21"/>
      <c r="BB47" s="21"/>
      <c r="BC47" s="21"/>
      <c r="BD47" s="21"/>
      <c r="BE47" s="21"/>
      <c r="BF47" s="21"/>
      <c r="BG47" s="21"/>
    </row>
    <row r="48" spans="2:59" ht="14.55" customHeight="1" x14ac:dyDescent="0.3">
      <c r="D48" s="2" t="str">
        <f>'Form 2B.1 - Design'!C80</f>
        <v xml:space="preserve">Select: </v>
      </c>
      <c r="E48" s="237">
        <f>'Form 2B.1 - Design'!F80</f>
        <v>0</v>
      </c>
      <c r="F48" s="237"/>
      <c r="G48" s="237"/>
      <c r="I48" s="249">
        <f>'Form 2B.1 - Design'!K80</f>
        <v>0</v>
      </c>
      <c r="J48" s="249"/>
      <c r="K48" s="249"/>
      <c r="L48" s="22" t="str">
        <f>'Form 2B.1 - Design'!N80</f>
        <v>in</v>
      </c>
      <c r="M48" s="249">
        <f>'Form 2B.1 - Design'!P80</f>
        <v>0</v>
      </c>
      <c r="N48" s="249"/>
      <c r="O48" s="249"/>
      <c r="P48" s="22" t="s">
        <v>38</v>
      </c>
      <c r="Q48" s="249">
        <f>'Form 2B.1 - Design'!U80</f>
        <v>0</v>
      </c>
      <c r="R48" s="249"/>
      <c r="S48" s="249"/>
      <c r="T48" s="22" t="s">
        <v>39</v>
      </c>
      <c r="U48" s="24"/>
      <c r="W48" s="204"/>
      <c r="X48" s="204"/>
      <c r="Y48" s="204"/>
      <c r="AA48" s="211"/>
      <c r="AB48" s="211"/>
      <c r="AC48" s="211"/>
      <c r="AD48" s="22" t="str">
        <f t="shared" si="1"/>
        <v>in</v>
      </c>
      <c r="AE48" s="211"/>
      <c r="AF48" s="211"/>
      <c r="AG48" s="211"/>
      <c r="AH48" s="22" t="s">
        <v>38</v>
      </c>
      <c r="AI48" s="211"/>
      <c r="AJ48" s="211"/>
      <c r="AK48" s="211"/>
      <c r="AL48" s="22" t="s">
        <v>39</v>
      </c>
      <c r="AM48" s="91">
        <f t="shared" si="0"/>
        <v>1</v>
      </c>
      <c r="AW48" s="4" t="s">
        <v>91</v>
      </c>
      <c r="AX48" s="68" t="s">
        <v>98</v>
      </c>
      <c r="AY48" s="106"/>
      <c r="BA48" s="21"/>
      <c r="BB48" s="21"/>
      <c r="BC48" s="21"/>
      <c r="BD48" s="21"/>
      <c r="BE48" s="21"/>
      <c r="BF48" s="21"/>
      <c r="BG48" s="21"/>
    </row>
    <row r="49" spans="1:59" ht="4.95" customHeight="1" x14ac:dyDescent="0.3">
      <c r="B49" s="2"/>
      <c r="C49" s="2"/>
      <c r="D49" s="2"/>
      <c r="E49" s="2"/>
      <c r="F49" s="2"/>
      <c r="G49" s="2"/>
      <c r="J49" s="26"/>
      <c r="K49" s="26"/>
      <c r="L49" s="26"/>
      <c r="N49" s="26"/>
      <c r="O49" s="26"/>
      <c r="P49" s="26"/>
      <c r="R49" s="26"/>
      <c r="S49" s="26"/>
      <c r="T49" s="26"/>
      <c r="AA49" s="26"/>
      <c r="AB49" s="26"/>
      <c r="AC49" s="26"/>
      <c r="AE49" s="26"/>
      <c r="AF49" s="26"/>
      <c r="AG49" s="26"/>
      <c r="AI49" s="26"/>
      <c r="AJ49" s="26"/>
      <c r="AK49" s="26"/>
      <c r="AV49" s="22"/>
      <c r="BA49" s="21"/>
      <c r="BB49" s="21"/>
      <c r="BC49" s="21"/>
      <c r="BD49" s="21"/>
      <c r="BE49" s="21"/>
      <c r="BF49" s="21"/>
      <c r="BG49" s="21"/>
    </row>
    <row r="50" spans="1:59" ht="15" customHeight="1" x14ac:dyDescent="0.3">
      <c r="B50" s="2"/>
      <c r="C50" s="2"/>
      <c r="D50" s="2"/>
      <c r="E50" s="2"/>
      <c r="F50" s="2"/>
      <c r="G50" s="2"/>
      <c r="J50" s="26"/>
      <c r="K50" s="26"/>
      <c r="L50" s="26"/>
      <c r="N50" s="26"/>
      <c r="O50" s="26"/>
      <c r="P50" s="26"/>
      <c r="R50" s="26"/>
      <c r="S50" s="26"/>
      <c r="T50" s="26"/>
      <c r="AA50" s="26"/>
      <c r="AB50" s="26"/>
      <c r="AC50" s="26"/>
      <c r="AE50" s="26"/>
      <c r="AF50" s="26"/>
      <c r="AG50" s="26"/>
      <c r="AI50" s="26"/>
      <c r="AJ50" s="26"/>
      <c r="AK50" s="26"/>
      <c r="AV50" s="22"/>
      <c r="BA50" s="21"/>
      <c r="BB50" s="21"/>
      <c r="BC50" s="21"/>
      <c r="BD50" s="21"/>
      <c r="BE50" s="21"/>
      <c r="BF50" s="21"/>
      <c r="BG50" s="21"/>
    </row>
    <row r="51" spans="1:59" ht="15" customHeight="1" x14ac:dyDescent="0.3">
      <c r="B51" s="2"/>
      <c r="C51" s="2"/>
      <c r="D51" s="2"/>
      <c r="E51" s="2"/>
      <c r="F51" s="2"/>
      <c r="G51" s="2"/>
      <c r="J51" s="26"/>
      <c r="K51" s="26"/>
      <c r="L51" s="26"/>
      <c r="N51" s="26"/>
      <c r="O51" s="26"/>
      <c r="P51" s="26"/>
      <c r="R51" s="26"/>
      <c r="S51" s="26"/>
      <c r="T51" s="26"/>
      <c r="AA51" s="26"/>
      <c r="AB51" s="26"/>
      <c r="AC51" s="26"/>
      <c r="AE51" s="26"/>
      <c r="AF51" s="26"/>
      <c r="AG51" s="26"/>
      <c r="AI51" s="26"/>
      <c r="AJ51" s="26"/>
      <c r="AK51" s="26"/>
      <c r="AV51" s="22"/>
      <c r="BA51" s="21"/>
      <c r="BB51" s="21"/>
      <c r="BC51" s="21"/>
      <c r="BD51" s="21"/>
      <c r="BE51" s="21"/>
      <c r="BF51" s="21"/>
      <c r="BG51" s="21"/>
    </row>
    <row r="52" spans="1:59" ht="15" customHeight="1" x14ac:dyDescent="0.3">
      <c r="B52" s="2"/>
      <c r="C52" s="2"/>
      <c r="D52" s="2"/>
      <c r="E52" s="2"/>
      <c r="F52" s="2"/>
      <c r="G52" s="2"/>
      <c r="J52" s="26"/>
      <c r="K52" s="26"/>
      <c r="L52" s="26"/>
      <c r="N52" s="26"/>
      <c r="O52" s="26"/>
      <c r="P52" s="26"/>
      <c r="R52" s="26"/>
      <c r="S52" s="26"/>
      <c r="T52" s="26"/>
      <c r="AA52" s="26"/>
      <c r="AB52" s="26"/>
      <c r="AC52" s="26"/>
      <c r="AE52" s="26"/>
      <c r="AF52" s="26"/>
      <c r="AG52" s="26"/>
      <c r="AI52" s="26"/>
      <c r="AJ52" s="26"/>
      <c r="AK52" s="26"/>
      <c r="AV52" s="22"/>
      <c r="BA52" s="21"/>
      <c r="BB52" s="21"/>
      <c r="BC52" s="21"/>
      <c r="BD52" s="21"/>
      <c r="BE52" s="21"/>
      <c r="BF52" s="21"/>
      <c r="BG52" s="21"/>
    </row>
    <row r="53" spans="1:59" ht="15" customHeight="1" x14ac:dyDescent="0.3">
      <c r="B53" s="2"/>
      <c r="C53" s="2"/>
      <c r="D53" s="2"/>
      <c r="E53" s="2"/>
      <c r="F53" s="2"/>
      <c r="G53" s="2"/>
      <c r="J53" s="26"/>
      <c r="K53" s="26"/>
      <c r="L53" s="26"/>
      <c r="N53" s="26"/>
      <c r="O53" s="26"/>
      <c r="P53" s="26"/>
      <c r="R53" s="26"/>
      <c r="S53" s="26"/>
      <c r="T53" s="26"/>
      <c r="AA53" s="26"/>
      <c r="AB53" s="26"/>
      <c r="AC53" s="26"/>
      <c r="AE53" s="26"/>
      <c r="AF53" s="26"/>
      <c r="AG53" s="26"/>
      <c r="AI53" s="26"/>
      <c r="AJ53" s="26"/>
      <c r="AK53" s="26"/>
      <c r="AV53" s="22"/>
      <c r="BA53" s="21"/>
      <c r="BB53" s="21"/>
      <c r="BC53" s="21"/>
      <c r="BD53" s="21"/>
      <c r="BE53" s="21"/>
      <c r="BF53" s="21"/>
      <c r="BG53" s="21"/>
    </row>
    <row r="54" spans="1:59" ht="15" customHeight="1" x14ac:dyDescent="0.3">
      <c r="B54" s="2"/>
      <c r="C54" s="2"/>
      <c r="D54" s="2"/>
      <c r="E54" s="2"/>
      <c r="F54" s="2"/>
      <c r="G54" s="2"/>
      <c r="J54" s="26"/>
      <c r="K54" s="26"/>
      <c r="L54" s="26"/>
      <c r="N54" s="26"/>
      <c r="O54" s="26"/>
      <c r="P54" s="26"/>
      <c r="R54" s="26"/>
      <c r="S54" s="26"/>
      <c r="T54" s="26"/>
      <c r="AA54" s="26"/>
      <c r="AB54" s="26"/>
      <c r="AC54" s="26"/>
      <c r="AE54" s="26"/>
      <c r="AF54" s="26"/>
      <c r="AG54" s="26"/>
      <c r="AI54" s="26"/>
      <c r="AJ54" s="26"/>
      <c r="AK54" s="26"/>
      <c r="AV54" s="22"/>
      <c r="BA54" s="21"/>
      <c r="BB54" s="21"/>
      <c r="BC54" s="21"/>
      <c r="BD54" s="21"/>
      <c r="BE54" s="21"/>
      <c r="BF54" s="21"/>
      <c r="BG54" s="21"/>
    </row>
    <row r="55" spans="1:59" ht="15" customHeight="1" x14ac:dyDescent="0.3">
      <c r="B55" s="2"/>
      <c r="C55" s="2"/>
      <c r="D55" s="2"/>
      <c r="E55" s="2"/>
      <c r="F55" s="2"/>
      <c r="G55" s="2"/>
      <c r="J55" s="26"/>
      <c r="K55" s="26"/>
      <c r="L55" s="26"/>
      <c r="N55" s="26"/>
      <c r="O55" s="26"/>
      <c r="P55" s="26"/>
      <c r="R55" s="26"/>
      <c r="S55" s="26"/>
      <c r="T55" s="26"/>
      <c r="AA55" s="26"/>
      <c r="AB55" s="26"/>
      <c r="AC55" s="26"/>
      <c r="AE55" s="26"/>
      <c r="AF55" s="26"/>
      <c r="AG55" s="26"/>
      <c r="AI55" s="26"/>
      <c r="AJ55" s="26"/>
      <c r="AK55" s="26"/>
      <c r="AV55" s="22"/>
      <c r="BA55" s="21"/>
      <c r="BB55" s="21"/>
      <c r="BC55" s="21"/>
      <c r="BD55" s="21"/>
      <c r="BE55" s="21"/>
      <c r="BF55" s="21"/>
      <c r="BG55" s="21"/>
    </row>
    <row r="56" spans="1:59" ht="15" customHeight="1" x14ac:dyDescent="0.3">
      <c r="AK56" s="26"/>
      <c r="AV56" s="22"/>
      <c r="AX56" s="103"/>
      <c r="AY56" s="68"/>
      <c r="BA56" s="21"/>
      <c r="BB56" s="21"/>
      <c r="BC56" s="21"/>
      <c r="BD56" s="21"/>
      <c r="BE56" s="21"/>
      <c r="BF56" s="21"/>
      <c r="BG56" s="21"/>
    </row>
    <row r="57" spans="1:59" ht="15" customHeight="1" x14ac:dyDescent="0.3">
      <c r="B57" s="203">
        <f>Tables!$F$13</f>
        <v>45931</v>
      </c>
      <c r="C57" s="203"/>
      <c r="D57" s="203"/>
      <c r="E57" s="203"/>
      <c r="F57" s="203"/>
      <c r="G57" s="203"/>
      <c r="H57" s="203"/>
      <c r="R57" s="189" t="s">
        <v>451</v>
      </c>
      <c r="S57" s="189"/>
      <c r="T57" s="189"/>
      <c r="U57" s="189"/>
      <c r="AK57" s="26"/>
      <c r="AV57" s="22"/>
      <c r="BA57" s="21"/>
      <c r="BB57" s="21"/>
      <c r="BC57" s="21"/>
      <c r="BD57" s="21"/>
      <c r="BE57" s="21"/>
      <c r="BF57" s="21"/>
      <c r="BG57" s="21"/>
    </row>
    <row r="58" spans="1:59" ht="15" customHeight="1" x14ac:dyDescent="0.3">
      <c r="C58" s="2" t="s">
        <v>1</v>
      </c>
      <c r="D58" s="210">
        <f>IF(ISBLANK($E$7),"",$E$7)</f>
        <v>0</v>
      </c>
      <c r="E58" s="210"/>
      <c r="F58" s="210"/>
      <c r="G58" s="210"/>
      <c r="H58" s="210"/>
      <c r="I58" s="210"/>
      <c r="J58" s="210"/>
      <c r="K58" s="210"/>
      <c r="L58" s="210"/>
      <c r="M58" s="210"/>
      <c r="N58" s="210"/>
      <c r="O58" s="210"/>
      <c r="P58" s="210"/>
      <c r="Q58" s="210"/>
      <c r="R58" s="210"/>
      <c r="S58" s="210"/>
      <c r="T58" s="210"/>
      <c r="U58" s="210"/>
      <c r="V58" s="210"/>
      <c r="W58" s="210"/>
      <c r="X58" s="210"/>
      <c r="Y58" s="210"/>
      <c r="Z58" s="210"/>
      <c r="AA58" s="34"/>
      <c r="AB58" s="34"/>
      <c r="AC58" s="34"/>
      <c r="AF58" s="2" t="s">
        <v>19</v>
      </c>
      <c r="AG58" s="187">
        <f>AF7</f>
        <v>0</v>
      </c>
      <c r="AH58" s="187"/>
      <c r="AI58" s="187"/>
      <c r="AJ58" s="187"/>
      <c r="AK58" s="187"/>
      <c r="AV58" s="22"/>
      <c r="BA58" s="21"/>
      <c r="BB58" s="21"/>
      <c r="BC58" s="21"/>
      <c r="BD58" s="21"/>
      <c r="BE58" s="21"/>
      <c r="BF58" s="21"/>
      <c r="BG58" s="21"/>
    </row>
    <row r="59" spans="1:59" ht="15" customHeight="1" x14ac:dyDescent="0.3">
      <c r="H59" s="35"/>
      <c r="I59" s="35"/>
      <c r="J59" s="2"/>
      <c r="K59" s="2"/>
      <c r="L59" s="2"/>
      <c r="M59" s="35"/>
      <c r="N59" s="34"/>
      <c r="O59" s="34"/>
      <c r="P59" s="34"/>
      <c r="Q59" s="34"/>
      <c r="R59" s="34"/>
      <c r="S59" s="34"/>
      <c r="T59" s="34"/>
      <c r="U59" s="34"/>
      <c r="V59" s="34"/>
      <c r="W59" s="34"/>
      <c r="X59" s="34"/>
      <c r="Y59" s="34"/>
      <c r="Z59" s="34"/>
      <c r="AA59" s="34"/>
      <c r="AB59" s="34"/>
      <c r="AC59" s="34"/>
      <c r="AF59" s="2" t="s">
        <v>32</v>
      </c>
      <c r="AG59" s="254">
        <f>IF(ISBLANK($AF$8),"",$AF$8)</f>
        <v>0</v>
      </c>
      <c r="AH59" s="254"/>
      <c r="AI59" s="254"/>
      <c r="AJ59" s="254"/>
      <c r="AK59" s="254"/>
      <c r="AV59" s="22"/>
      <c r="BA59" s="21"/>
      <c r="BB59" s="21"/>
      <c r="BC59" s="21"/>
      <c r="BD59" s="21"/>
      <c r="BE59" s="21"/>
      <c r="BF59" s="21"/>
      <c r="BG59" s="21"/>
    </row>
    <row r="60" spans="1:59" ht="4.95" customHeight="1" x14ac:dyDescent="0.3">
      <c r="B60" s="2"/>
      <c r="C60" s="2"/>
      <c r="D60" s="2"/>
      <c r="E60" s="2"/>
      <c r="F60" s="2"/>
      <c r="G60" s="2"/>
      <c r="J60" s="26"/>
      <c r="K60" s="26"/>
      <c r="L60" s="26"/>
      <c r="N60" s="26"/>
      <c r="O60" s="26"/>
      <c r="P60" s="26"/>
      <c r="R60" s="26"/>
      <c r="S60" s="26"/>
      <c r="T60" s="26"/>
      <c r="AA60" s="26"/>
      <c r="AB60" s="26"/>
      <c r="AC60" s="26"/>
      <c r="AE60" s="26"/>
      <c r="AF60" s="26"/>
      <c r="AG60" s="26"/>
      <c r="AI60" s="26"/>
      <c r="AJ60" s="26"/>
      <c r="AK60" s="26"/>
      <c r="AV60" s="22"/>
      <c r="BA60" s="21"/>
      <c r="BB60" s="21"/>
      <c r="BC60" s="21"/>
      <c r="BD60" s="21"/>
      <c r="BE60" s="21"/>
      <c r="BF60" s="21"/>
      <c r="BG60" s="21"/>
    </row>
    <row r="61" spans="1:59" ht="15" customHeight="1" x14ac:dyDescent="0.3">
      <c r="A61" s="246" t="s">
        <v>423</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93"/>
      <c r="AN61" s="94"/>
      <c r="AX61" s="21"/>
      <c r="AY61" s="21"/>
      <c r="AZ61" s="21"/>
      <c r="BA61" s="21"/>
      <c r="BB61" s="21"/>
      <c r="BC61" s="21"/>
      <c r="BD61" s="21"/>
      <c r="BE61" s="21"/>
      <c r="BF61" s="21"/>
      <c r="BG61" s="21"/>
    </row>
    <row r="62" spans="1:59" ht="15" customHeight="1" x14ac:dyDescent="0.3">
      <c r="B62" s="1" t="s">
        <v>51</v>
      </c>
      <c r="C62" s="1"/>
      <c r="D62" s="1"/>
      <c r="E62" s="1"/>
      <c r="F62" s="1"/>
      <c r="G62" s="1"/>
      <c r="I62" s="1"/>
      <c r="J62" s="1"/>
      <c r="K62" s="1"/>
      <c r="L62" s="1"/>
      <c r="M62" s="1"/>
      <c r="N62" s="1"/>
      <c r="O62" s="1"/>
      <c r="P62" s="1"/>
      <c r="Q62" s="1"/>
      <c r="R62" s="1"/>
      <c r="S62" s="1"/>
      <c r="T62" s="1"/>
      <c r="U62" s="24"/>
      <c r="V62" s="1" t="s">
        <v>52</v>
      </c>
      <c r="W62" s="1"/>
      <c r="X62" s="1"/>
      <c r="Y62" s="1"/>
      <c r="Z62" s="1"/>
      <c r="AA62" s="1"/>
      <c r="AB62" s="1"/>
      <c r="AC62" s="1"/>
      <c r="AD62" s="1"/>
      <c r="AE62" s="1"/>
      <c r="AF62" s="1"/>
      <c r="AG62" s="1"/>
      <c r="AH62" s="1"/>
      <c r="AI62" s="50"/>
      <c r="AJ62" s="50"/>
      <c r="AM62" s="91">
        <f>SUM(AM63:AM65,AO63:AO65)</f>
        <v>0</v>
      </c>
      <c r="AN62" s="14" t="s">
        <v>76</v>
      </c>
      <c r="AV62" s="20"/>
      <c r="AY62" s="21"/>
      <c r="AZ62" s="21"/>
      <c r="BA62" s="21"/>
      <c r="BB62" s="21"/>
      <c r="BC62" s="21"/>
      <c r="BD62" s="21"/>
      <c r="BE62" s="21"/>
      <c r="BF62" s="21"/>
      <c r="BG62" s="21"/>
    </row>
    <row r="63" spans="1:59" ht="15" customHeight="1" x14ac:dyDescent="0.3">
      <c r="C63" s="2"/>
      <c r="D63" s="2" t="s">
        <v>27</v>
      </c>
      <c r="E63" s="210">
        <f>'Form 2B.1 - Design'!F83</f>
        <v>0</v>
      </c>
      <c r="F63" s="210"/>
      <c r="G63" s="210"/>
      <c r="H63" s="210"/>
      <c r="N63" s="2" t="s">
        <v>30</v>
      </c>
      <c r="O63" s="210">
        <f>'Form 2B.1 - Design'!O83</f>
        <v>0</v>
      </c>
      <c r="P63" s="210"/>
      <c r="Q63" s="210"/>
      <c r="R63" s="210"/>
      <c r="U63" s="24"/>
      <c r="X63" s="2" t="s">
        <v>27</v>
      </c>
      <c r="Y63" s="204"/>
      <c r="Z63" s="204"/>
      <c r="AA63" s="204"/>
      <c r="AB63" s="204"/>
      <c r="AG63" s="2" t="s">
        <v>30</v>
      </c>
      <c r="AH63" s="204"/>
      <c r="AI63" s="204"/>
      <c r="AJ63" s="204"/>
      <c r="AK63" s="204"/>
      <c r="AM63" s="91">
        <f>IF(ISBLANK(Y63),0,1)</f>
        <v>0</v>
      </c>
      <c r="AN63" s="14" t="s">
        <v>21</v>
      </c>
      <c r="AO63" s="91">
        <f>IF(ISBLANK(AH63),0,1)</f>
        <v>0</v>
      </c>
      <c r="AP63" s="100" t="s">
        <v>31</v>
      </c>
      <c r="AQ63" s="100"/>
      <c r="AR63" s="100"/>
      <c r="AV63" s="20"/>
      <c r="AY63" s="21"/>
      <c r="AZ63" s="21"/>
      <c r="BA63" s="21"/>
      <c r="BB63" s="21"/>
      <c r="BC63" s="21"/>
      <c r="BD63" s="21"/>
      <c r="BE63" s="21"/>
      <c r="BF63" s="21"/>
      <c r="BG63" s="21"/>
    </row>
    <row r="64" spans="1:59" ht="15" customHeight="1" x14ac:dyDescent="0.3">
      <c r="C64" s="2"/>
      <c r="D64" s="2" t="s">
        <v>36</v>
      </c>
      <c r="E64" s="249">
        <f>'Form 2B.1 - Design'!F84</f>
        <v>0</v>
      </c>
      <c r="F64" s="249"/>
      <c r="G64" s="249"/>
      <c r="H64" s="22" t="s">
        <v>39</v>
      </c>
      <c r="N64" s="2" t="s">
        <v>40</v>
      </c>
      <c r="O64" s="249">
        <f>'Form 2B.1 - Design'!O84</f>
        <v>0</v>
      </c>
      <c r="P64" s="249"/>
      <c r="Q64" s="249"/>
      <c r="R64" s="22" t="s">
        <v>39</v>
      </c>
      <c r="U64" s="24"/>
      <c r="X64" s="2" t="s">
        <v>36</v>
      </c>
      <c r="Y64" s="211"/>
      <c r="Z64" s="211"/>
      <c r="AA64" s="211"/>
      <c r="AB64" s="22" t="s">
        <v>39</v>
      </c>
      <c r="AG64" s="2" t="s">
        <v>40</v>
      </c>
      <c r="AH64" s="211"/>
      <c r="AI64" s="211"/>
      <c r="AJ64" s="211"/>
      <c r="AK64" s="22" t="s">
        <v>39</v>
      </c>
      <c r="AM64" s="91">
        <f>IF(ISBLANK(Y64),0,1)</f>
        <v>0</v>
      </c>
      <c r="AN64" s="14" t="s">
        <v>47</v>
      </c>
      <c r="AO64" s="91">
        <f>IF(ISBLANK(AH64),0,1)</f>
        <v>0</v>
      </c>
      <c r="AP64" s="14" t="s">
        <v>73</v>
      </c>
      <c r="AQ64" s="14"/>
      <c r="AR64" s="14"/>
      <c r="AV64" s="20"/>
      <c r="AY64" s="21"/>
      <c r="AZ64" s="21"/>
      <c r="BA64" s="21"/>
      <c r="BB64" s="21"/>
      <c r="BC64" s="21"/>
      <c r="BD64" s="21"/>
      <c r="BE64" s="21"/>
      <c r="BF64" s="21"/>
      <c r="BG64" s="21"/>
    </row>
    <row r="65" spans="1:51" ht="15" customHeight="1" x14ac:dyDescent="0.3">
      <c r="C65" s="2"/>
      <c r="D65" s="2" t="s">
        <v>42</v>
      </c>
      <c r="E65" s="249">
        <f>'Form 2B.1 - Design'!W84</f>
        <v>0</v>
      </c>
      <c r="F65" s="249"/>
      <c r="G65" s="249"/>
      <c r="H65" s="22" t="s">
        <v>39</v>
      </c>
      <c r="N65" s="2" t="s">
        <v>111</v>
      </c>
      <c r="O65" s="249">
        <f>'Form 2B.1 - Design'!AF84</f>
        <v>0</v>
      </c>
      <c r="P65" s="249"/>
      <c r="Q65" s="249"/>
      <c r="R65" s="22" t="s">
        <v>39</v>
      </c>
      <c r="U65" s="55"/>
      <c r="X65" s="2" t="s">
        <v>42</v>
      </c>
      <c r="Y65" s="211"/>
      <c r="Z65" s="211"/>
      <c r="AA65" s="211"/>
      <c r="AB65" s="22" t="s">
        <v>39</v>
      </c>
      <c r="AG65" s="2" t="s">
        <v>111</v>
      </c>
      <c r="AH65" s="211"/>
      <c r="AI65" s="211"/>
      <c r="AJ65" s="211"/>
      <c r="AK65" s="22" t="s">
        <v>39</v>
      </c>
      <c r="AM65" s="91">
        <f>IF(ISBLANK(Y65),0,1)</f>
        <v>0</v>
      </c>
      <c r="AN65" s="14" t="s">
        <v>74</v>
      </c>
      <c r="AO65" s="91">
        <f>IF(ISBLANK(AH65),0,1)</f>
        <v>0</v>
      </c>
      <c r="AP65" s="14" t="s">
        <v>75</v>
      </c>
      <c r="AQ65" s="14"/>
      <c r="AR65" s="14"/>
      <c r="AV65" s="20"/>
      <c r="AY65" s="21"/>
    </row>
    <row r="66" spans="1:51" ht="4.95" customHeight="1" x14ac:dyDescent="0.3">
      <c r="B66" s="2"/>
      <c r="C66" s="2"/>
      <c r="D66" s="2"/>
      <c r="E66" s="2"/>
      <c r="F66" s="2"/>
      <c r="G66" s="2"/>
      <c r="H66" s="26"/>
      <c r="M66" s="2"/>
      <c r="N66" s="26"/>
      <c r="O66" s="26"/>
      <c r="P66" s="26"/>
      <c r="U66" s="2"/>
      <c r="V66" s="2"/>
      <c r="W66" s="26"/>
      <c r="X66" s="26"/>
      <c r="Y66" s="26"/>
      <c r="AD66" s="2"/>
      <c r="AE66" s="26"/>
      <c r="AF66" s="26"/>
      <c r="AG66" s="26"/>
      <c r="AM66" s="93"/>
      <c r="AO66" s="99"/>
      <c r="AV66" s="22"/>
      <c r="AY66" s="21"/>
    </row>
    <row r="67" spans="1:51" s="5" customFormat="1" ht="15" customHeight="1" x14ac:dyDescent="0.3">
      <c r="A67" s="266" t="s">
        <v>14</v>
      </c>
      <c r="B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93"/>
      <c r="AN67" s="93"/>
      <c r="AO67" s="93"/>
      <c r="AP67" s="16"/>
      <c r="AQ67" s="16"/>
      <c r="AR67" s="16"/>
      <c r="AS67" s="16"/>
      <c r="AT67" s="16"/>
      <c r="AY67" s="21"/>
    </row>
    <row r="68" spans="1:51" ht="15" customHeight="1" x14ac:dyDescent="0.3">
      <c r="B68" s="1" t="s">
        <v>51</v>
      </c>
      <c r="C68" s="1"/>
      <c r="D68" s="1"/>
      <c r="E68" s="1"/>
      <c r="F68" s="1"/>
      <c r="H68" s="29" t="s">
        <v>43</v>
      </c>
      <c r="I68" s="261">
        <f>'Form 2B.1 - Design'!O86</f>
        <v>0</v>
      </c>
      <c r="J68" s="261"/>
      <c r="K68" s="261"/>
      <c r="L68" s="261"/>
      <c r="O68" s="53"/>
      <c r="P68" s="53"/>
      <c r="Q68" s="1"/>
      <c r="R68" s="1"/>
      <c r="S68" s="1"/>
      <c r="U68" s="24"/>
      <c r="V68" s="1" t="s">
        <v>52</v>
      </c>
      <c r="W68" s="1"/>
      <c r="X68" s="1"/>
      <c r="Y68" s="30"/>
      <c r="AA68" s="29"/>
      <c r="AC68" s="29" t="s">
        <v>43</v>
      </c>
      <c r="AD68" s="212"/>
      <c r="AE68" s="212"/>
      <c r="AF68" s="212"/>
      <c r="AG68" s="212"/>
      <c r="AH68" s="30"/>
      <c r="AI68" s="30"/>
      <c r="AJ68" s="30"/>
      <c r="AK68" s="30"/>
      <c r="AM68" s="91">
        <f>IF(ISBLANK(AD68),0,1)</f>
        <v>0</v>
      </c>
      <c r="AN68" s="14" t="s">
        <v>139</v>
      </c>
      <c r="AR68" s="63" t="s">
        <v>419</v>
      </c>
      <c r="AS68" s="91">
        <f>IF(ISBLANK(AD68),1,IF(ISTEXT(AD68)=TRUE,3,2))</f>
        <v>1</v>
      </c>
      <c r="AY68" s="21"/>
    </row>
    <row r="69" spans="1:51" ht="15" customHeight="1" x14ac:dyDescent="0.3">
      <c r="B69" s="1"/>
      <c r="C69" s="1"/>
      <c r="D69" s="1"/>
      <c r="E69" s="1"/>
      <c r="F69" s="1"/>
      <c r="H69" s="2" t="s">
        <v>44</v>
      </c>
      <c r="I69" s="262">
        <f>'Form 2B.1 - Design'!W86</f>
        <v>0</v>
      </c>
      <c r="J69" s="262"/>
      <c r="K69" s="262"/>
      <c r="L69" s="262"/>
      <c r="O69" s="53"/>
      <c r="P69" s="53"/>
      <c r="Q69" s="31"/>
      <c r="U69" s="55"/>
      <c r="AA69" s="2"/>
      <c r="AC69" s="2" t="s">
        <v>44</v>
      </c>
      <c r="AD69" s="263"/>
      <c r="AE69" s="263"/>
      <c r="AF69" s="263"/>
      <c r="AG69" s="263"/>
      <c r="AM69" s="91">
        <f>IF(ISBLANK(AD69),0,1)</f>
        <v>0</v>
      </c>
      <c r="AN69" s="14" t="s">
        <v>140</v>
      </c>
      <c r="AO69" s="91">
        <f>SUM(AM68:AM69)</f>
        <v>0</v>
      </c>
      <c r="AP69" s="14" t="s">
        <v>141</v>
      </c>
      <c r="AR69" s="63" t="s">
        <v>420</v>
      </c>
      <c r="AS69" s="91">
        <f>IF(ISBLANK(AD69),1,IF(ISTEXT(AD69)=TRUE,3,2))</f>
        <v>1</v>
      </c>
      <c r="AY69" s="21"/>
    </row>
    <row r="70" spans="1:51" ht="4.95" customHeight="1" x14ac:dyDescent="0.3">
      <c r="B70" s="1"/>
      <c r="C70" s="1"/>
      <c r="D70" s="1"/>
      <c r="E70" s="1"/>
      <c r="F70" s="1"/>
      <c r="G70" s="1"/>
      <c r="J70" s="2"/>
      <c r="K70" s="2"/>
      <c r="L70" s="2"/>
      <c r="M70" s="31"/>
      <c r="N70" s="31"/>
      <c r="O70" s="31"/>
      <c r="P70" s="31"/>
      <c r="Q70" s="31"/>
      <c r="U70" s="2"/>
      <c r="Z70" s="2"/>
      <c r="AA70" s="2"/>
      <c r="AB70" s="2"/>
      <c r="AC70" s="31"/>
      <c r="AD70" s="31"/>
      <c r="AE70" s="31"/>
      <c r="AF70" s="31"/>
      <c r="AO70" s="99"/>
      <c r="AY70" s="21"/>
    </row>
    <row r="71" spans="1:51" ht="15" customHeight="1" x14ac:dyDescent="0.3">
      <c r="A71" s="251" t="s">
        <v>471</v>
      </c>
      <c r="B71" s="251"/>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14"/>
      <c r="AN71" s="100"/>
      <c r="AY71" s="21"/>
    </row>
    <row r="72" spans="1:51" ht="15" customHeight="1" x14ac:dyDescent="0.3">
      <c r="B72" s="1" t="s">
        <v>51</v>
      </c>
      <c r="C72" s="1"/>
      <c r="D72" s="1"/>
      <c r="E72" s="1"/>
      <c r="G72" s="2" t="s">
        <v>477</v>
      </c>
      <c r="H72" s="235">
        <f>'Form 2B.1 - Design'!L88</f>
        <v>0</v>
      </c>
      <c r="I72" s="235"/>
      <c r="J72" s="235"/>
      <c r="K72" s="235"/>
      <c r="L72" s="235"/>
      <c r="M72" s="235"/>
      <c r="N72" s="235"/>
      <c r="O72" s="235"/>
      <c r="P72" s="235"/>
      <c r="Q72" s="31"/>
      <c r="R72" s="31"/>
      <c r="S72" s="31"/>
      <c r="T72" s="28"/>
      <c r="U72" s="1" t="s">
        <v>52</v>
      </c>
      <c r="W72" s="1"/>
      <c r="X72" s="1"/>
      <c r="Z72" s="2" t="s">
        <v>477</v>
      </c>
      <c r="AA72" s="204"/>
      <c r="AB72" s="204"/>
      <c r="AC72" s="204"/>
      <c r="AD72" s="204"/>
      <c r="AE72" s="204"/>
      <c r="AF72" s="204"/>
      <c r="AG72" s="204"/>
      <c r="AH72" s="204"/>
      <c r="AI72" s="204"/>
      <c r="AJ72" s="31"/>
      <c r="AK72" s="31"/>
      <c r="AL72" s="31"/>
      <c r="AM72" s="91">
        <f>IF(ISBLANK(AA72),1,0)</f>
        <v>1</v>
      </c>
      <c r="AN72" s="100"/>
      <c r="AY72" s="21"/>
    </row>
    <row r="73" spans="1:51" ht="15" customHeight="1" x14ac:dyDescent="0.3">
      <c r="B73" s="1"/>
      <c r="C73" s="1"/>
      <c r="D73" s="2" t="s">
        <v>185</v>
      </c>
      <c r="E73" s="255">
        <f>'Form 2B.1 - Design'!F90</f>
        <v>0</v>
      </c>
      <c r="F73" s="255"/>
      <c r="G73" s="22" t="s">
        <v>39</v>
      </c>
      <c r="K73" s="2" t="s">
        <v>181</v>
      </c>
      <c r="L73" s="247">
        <f>'Form 2B.1 - Design'!L90</f>
        <v>0</v>
      </c>
      <c r="M73" s="247"/>
      <c r="N73" s="22" t="s">
        <v>39</v>
      </c>
      <c r="T73" s="150"/>
      <c r="U73" s="2"/>
      <c r="W73" s="2" t="s">
        <v>185</v>
      </c>
      <c r="X73" s="209"/>
      <c r="Y73" s="209"/>
      <c r="Z73" s="22" t="s">
        <v>39</v>
      </c>
      <c r="AD73" s="2" t="s">
        <v>181</v>
      </c>
      <c r="AE73" s="211"/>
      <c r="AF73" s="211"/>
      <c r="AG73" s="22" t="s">
        <v>39</v>
      </c>
      <c r="AM73" s="91">
        <f>IF(ISBLANK(X73),1,0)</f>
        <v>1</v>
      </c>
      <c r="AN73" s="91">
        <f>IF(ISBLANK(AE73),1,0)</f>
        <v>1</v>
      </c>
      <c r="AY73" s="21"/>
    </row>
    <row r="74" spans="1:51" ht="4.95" customHeight="1" x14ac:dyDescent="0.3">
      <c r="B74" s="1"/>
      <c r="C74" s="1"/>
      <c r="D74" s="2"/>
      <c r="E74" s="25"/>
      <c r="F74" s="25"/>
      <c r="K74" s="2"/>
      <c r="L74" s="25"/>
      <c r="M74" s="25"/>
      <c r="T74" s="150"/>
      <c r="U74" s="2"/>
      <c r="W74" s="2"/>
      <c r="X74" s="25"/>
      <c r="Y74" s="25"/>
      <c r="AD74" s="2"/>
      <c r="AE74" s="25"/>
      <c r="AF74" s="25"/>
      <c r="AM74" s="14"/>
      <c r="AN74" s="100"/>
      <c r="AY74" s="21"/>
    </row>
    <row r="75" spans="1:51" ht="15" customHeight="1" x14ac:dyDescent="0.3">
      <c r="B75" s="1"/>
      <c r="C75" s="1"/>
      <c r="D75" s="2" t="s">
        <v>478</v>
      </c>
      <c r="E75" s="255">
        <f>'Form 2B.1 - Design'!R90</f>
        <v>0</v>
      </c>
      <c r="F75" s="255"/>
      <c r="G75" s="22" t="s">
        <v>39</v>
      </c>
      <c r="L75" s="2" t="s">
        <v>479</v>
      </c>
      <c r="M75" s="151">
        <f>'Form 2B.1 - Design'!AF90</f>
        <v>0</v>
      </c>
      <c r="N75" s="22" t="s">
        <v>118</v>
      </c>
      <c r="P75" s="151">
        <f>'Form 2B.1 - Design'!AI90</f>
        <v>0</v>
      </c>
      <c r="Q75" s="31" t="s">
        <v>138</v>
      </c>
      <c r="T75" s="150"/>
      <c r="W75" s="2" t="s">
        <v>478</v>
      </c>
      <c r="X75" s="209"/>
      <c r="Y75" s="209"/>
      <c r="Z75" s="22" t="s">
        <v>39</v>
      </c>
      <c r="AE75" s="2" t="s">
        <v>479</v>
      </c>
      <c r="AF75" s="51"/>
      <c r="AG75" s="22" t="s">
        <v>118</v>
      </c>
      <c r="AI75" s="51"/>
      <c r="AJ75" s="31" t="s">
        <v>138</v>
      </c>
      <c r="AM75" s="91">
        <f>IF(ISBLANK(X75),1,0)</f>
        <v>1</v>
      </c>
      <c r="AN75" s="91">
        <f>IF(AND(ISBLANK(AF75),ISBLANK(AI75)),1,0)</f>
        <v>1</v>
      </c>
      <c r="AO75" s="91">
        <f>IF(ISBLANK(AI75),1,2)</f>
        <v>1</v>
      </c>
      <c r="AY75" s="21"/>
    </row>
    <row r="76" spans="1:51" ht="4.95" customHeight="1" x14ac:dyDescent="0.3">
      <c r="B76" s="1"/>
      <c r="C76" s="1"/>
      <c r="D76" s="1"/>
      <c r="E76" s="1"/>
      <c r="F76" s="1"/>
      <c r="G76" s="1"/>
      <c r="J76" s="2"/>
      <c r="K76" s="2"/>
      <c r="L76" s="2"/>
      <c r="M76" s="31"/>
      <c r="N76" s="31"/>
      <c r="O76" s="31"/>
      <c r="P76" s="31"/>
      <c r="Q76" s="31"/>
      <c r="U76" s="2"/>
      <c r="Z76" s="2"/>
      <c r="AA76" s="2"/>
      <c r="AB76" s="2"/>
      <c r="AC76" s="31"/>
      <c r="AD76" s="31"/>
      <c r="AE76" s="31"/>
      <c r="AF76" s="31"/>
      <c r="AY76" s="21"/>
    </row>
    <row r="77" spans="1:51" ht="15" customHeight="1" x14ac:dyDescent="0.3">
      <c r="A77" s="246" t="s">
        <v>53</v>
      </c>
      <c r="B77" s="246"/>
      <c r="C77" s="246"/>
      <c r="D77" s="246"/>
      <c r="E77" s="246"/>
      <c r="F77" s="246"/>
      <c r="G77" s="246"/>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O77" s="101"/>
    </row>
    <row r="78" spans="1:51" ht="15" customHeight="1" x14ac:dyDescent="0.3">
      <c r="B78" s="1" t="s">
        <v>51</v>
      </c>
      <c r="C78" s="1"/>
      <c r="D78" s="1"/>
      <c r="E78" s="1"/>
      <c r="F78" s="1"/>
      <c r="I78" s="25" t="s">
        <v>54</v>
      </c>
      <c r="J78" s="267">
        <f>'Form 2B.1 - Design'!W19</f>
        <v>0</v>
      </c>
      <c r="K78" s="267"/>
      <c r="L78" s="267"/>
      <c r="M78" s="185" t="s">
        <v>34</v>
      </c>
      <c r="N78" s="185"/>
      <c r="U78" s="24"/>
      <c r="V78" s="1" t="s">
        <v>52</v>
      </c>
      <c r="W78" s="1"/>
      <c r="X78" s="1"/>
      <c r="AC78" s="25" t="s">
        <v>55</v>
      </c>
      <c r="AD78" s="184"/>
      <c r="AE78" s="184"/>
      <c r="AF78" s="184"/>
      <c r="AG78" s="185" t="s">
        <v>34</v>
      </c>
      <c r="AH78" s="185"/>
      <c r="AN78" s="14" t="s">
        <v>144</v>
      </c>
      <c r="AO78" s="91">
        <f>IF(OR(AD78&gt;J78,AD78=J78),1,2)</f>
        <v>1</v>
      </c>
    </row>
    <row r="79" spans="1:51" ht="15" customHeight="1" x14ac:dyDescent="0.3">
      <c r="B79" s="1"/>
      <c r="C79" s="1"/>
      <c r="D79" s="1"/>
      <c r="E79" s="1"/>
      <c r="F79" s="1"/>
      <c r="I79" s="25" t="s">
        <v>274</v>
      </c>
      <c r="J79" s="245">
        <f>'Form 2B.1 - Design'!AC101</f>
        <v>0</v>
      </c>
      <c r="K79" s="245"/>
      <c r="L79" s="245"/>
      <c r="V79" s="1"/>
      <c r="W79" s="1"/>
      <c r="X79" s="1"/>
      <c r="AC79" s="25" t="s">
        <v>274</v>
      </c>
      <c r="AD79" s="211"/>
      <c r="AE79" s="211"/>
      <c r="AF79" s="211"/>
      <c r="AO79" s="91">
        <f>IF(OR(J78=0,ISBLANK(AD78)),2,1)</f>
        <v>2</v>
      </c>
    </row>
    <row r="80" spans="1:51" ht="4.95" customHeight="1" x14ac:dyDescent="0.3">
      <c r="B80" s="1"/>
      <c r="C80" s="1"/>
      <c r="D80" s="1"/>
      <c r="E80" s="1"/>
      <c r="F80" s="1"/>
      <c r="G80" s="1"/>
      <c r="H80" s="1"/>
      <c r="M80" s="25"/>
      <c r="N80" s="7"/>
      <c r="O80" s="7"/>
      <c r="P80" s="7"/>
      <c r="U80" s="2"/>
      <c r="V80" s="25"/>
      <c r="W80" s="30"/>
      <c r="X80" s="30"/>
      <c r="Y80" s="30"/>
      <c r="AD80" s="25"/>
      <c r="AE80" s="32"/>
      <c r="AF80" s="32"/>
      <c r="AG80" s="32"/>
      <c r="AV80" s="33"/>
      <c r="AW80" s="5"/>
      <c r="AX80" s="5"/>
      <c r="AY80" s="5"/>
    </row>
    <row r="81" spans="1:42" ht="15" customHeight="1" x14ac:dyDescent="0.3">
      <c r="A81" s="246" t="s">
        <v>394</v>
      </c>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93"/>
      <c r="AN81" s="95"/>
    </row>
    <row r="82" spans="1:42" ht="15" customHeight="1" x14ac:dyDescent="0.3">
      <c r="B82" s="1" t="s">
        <v>51</v>
      </c>
      <c r="C82" s="1"/>
      <c r="D82" s="1"/>
      <c r="E82" s="1"/>
      <c r="F82" s="1"/>
      <c r="H82" s="1"/>
      <c r="U82" s="24"/>
      <c r="V82" s="1" t="s">
        <v>52</v>
      </c>
      <c r="X82" s="1"/>
      <c r="Y82" s="1"/>
      <c r="AM82" s="16" t="s">
        <v>327</v>
      </c>
      <c r="AN82" s="14" t="s">
        <v>16</v>
      </c>
      <c r="AO82" s="16" t="str" cm="1">
        <f t="array" ref="AO82:AP82">'Form 2B.1 - Design'!K94:L94</f>
        <v>Units?</v>
      </c>
      <c r="AP82" s="16">
        <v>0</v>
      </c>
    </row>
    <row r="83" spans="1:42" ht="15" customHeight="1" x14ac:dyDescent="0.3">
      <c r="C83" s="4" t="s">
        <v>15</v>
      </c>
      <c r="G83" s="189" t="s">
        <v>16</v>
      </c>
      <c r="H83" s="189"/>
      <c r="I83" s="189"/>
      <c r="J83" s="189"/>
      <c r="K83" s="4"/>
      <c r="M83" s="22" t="s">
        <v>46</v>
      </c>
      <c r="U83" s="55"/>
      <c r="W83" s="4" t="s">
        <v>15</v>
      </c>
      <c r="X83" s="4"/>
      <c r="Y83" s="4"/>
      <c r="AA83" s="189" t="s">
        <v>16</v>
      </c>
      <c r="AB83" s="189"/>
      <c r="AC83" s="189"/>
      <c r="AD83" s="189"/>
      <c r="AG83" s="22" t="s">
        <v>46</v>
      </c>
      <c r="AM83" s="16">
        <f>IF(AO82="Units?",2,1)</f>
        <v>2</v>
      </c>
      <c r="AN83" s="14" t="s">
        <v>328</v>
      </c>
      <c r="AO83" s="16" t="str" cm="1">
        <f t="array" ref="AO83:AP83">'Form 2B.1 - Design'!Q94:R94</f>
        <v>Units?</v>
      </c>
      <c r="AP83" s="16">
        <v>0</v>
      </c>
    </row>
    <row r="84" spans="1:42" ht="15" customHeight="1" x14ac:dyDescent="0.3">
      <c r="B84" s="255">
        <f>'Form 2B.1 - Design'!C94</f>
        <v>0</v>
      </c>
      <c r="C84" s="255"/>
      <c r="D84" s="255"/>
      <c r="E84" s="22" t="s">
        <v>39</v>
      </c>
      <c r="G84" s="252">
        <f>'Form 2B.1 - Design'!H94</f>
        <v>0</v>
      </c>
      <c r="H84" s="252"/>
      <c r="I84" s="252"/>
      <c r="J84" s="252"/>
      <c r="K84" s="185" t="str">
        <f>$AO$82</f>
        <v>Units?</v>
      </c>
      <c r="L84" s="185"/>
      <c r="M84" s="252">
        <f>'Form 2B.1 - Design'!M94</f>
        <v>0</v>
      </c>
      <c r="N84" s="252"/>
      <c r="O84" s="252"/>
      <c r="P84" s="252"/>
      <c r="Q84" s="185" t="str">
        <f>$AO$83</f>
        <v>Units?</v>
      </c>
      <c r="R84" s="185"/>
      <c r="U84" s="55"/>
      <c r="V84" s="209"/>
      <c r="W84" s="209"/>
      <c r="X84" s="209"/>
      <c r="Y84" s="22" t="s">
        <v>39</v>
      </c>
      <c r="AA84" s="184"/>
      <c r="AB84" s="184"/>
      <c r="AC84" s="184"/>
      <c r="AD84" s="184"/>
      <c r="AE84" s="185" t="str">
        <f>$AO$82</f>
        <v>Units?</v>
      </c>
      <c r="AF84" s="185"/>
      <c r="AG84" s="184"/>
      <c r="AH84" s="184"/>
      <c r="AI84" s="184"/>
      <c r="AJ84" s="184"/>
      <c r="AK84" s="185" t="str">
        <f>$AO$83</f>
        <v>Units?</v>
      </c>
      <c r="AL84" s="185"/>
      <c r="AM84" s="91">
        <f>IF(ISBLANK(AA84),0,1)</f>
        <v>0</v>
      </c>
      <c r="AN84" s="89">
        <f>IF(ISBLANK(AG84),0,1)</f>
        <v>0</v>
      </c>
      <c r="AO84" s="91">
        <f t="shared" ref="AO84:AO97" si="2">IF(ISBLANK(V84),1,2)</f>
        <v>1</v>
      </c>
    </row>
    <row r="85" spans="1:42" ht="15" customHeight="1" x14ac:dyDescent="0.3">
      <c r="B85" s="247">
        <f>'Form 2B.1 - Design'!C95</f>
        <v>0</v>
      </c>
      <c r="C85" s="247"/>
      <c r="D85" s="247"/>
      <c r="E85" s="22" t="s">
        <v>39</v>
      </c>
      <c r="G85" s="248">
        <f>'Form 2B.1 - Design'!H95</f>
        <v>0</v>
      </c>
      <c r="H85" s="248"/>
      <c r="I85" s="248"/>
      <c r="J85" s="248"/>
      <c r="K85" s="185" t="str">
        <f t="shared" ref="K85:K97" si="3">$AO$82</f>
        <v>Units?</v>
      </c>
      <c r="L85" s="185"/>
      <c r="M85" s="252">
        <f>'Form 2B.1 - Design'!M95</f>
        <v>0</v>
      </c>
      <c r="N85" s="252"/>
      <c r="O85" s="252"/>
      <c r="P85" s="252"/>
      <c r="Q85" s="185" t="str">
        <f t="shared" ref="Q85:Q97" si="4">$AO$83</f>
        <v>Units?</v>
      </c>
      <c r="R85" s="185"/>
      <c r="U85" s="55"/>
      <c r="V85" s="211"/>
      <c r="W85" s="211"/>
      <c r="X85" s="211"/>
      <c r="Y85" s="22" t="s">
        <v>39</v>
      </c>
      <c r="AA85" s="183"/>
      <c r="AB85" s="183"/>
      <c r="AC85" s="183"/>
      <c r="AD85" s="183"/>
      <c r="AE85" s="185" t="str">
        <f t="shared" ref="AE85:AE97" si="5">$AO$82</f>
        <v>Units?</v>
      </c>
      <c r="AF85" s="185"/>
      <c r="AG85" s="183"/>
      <c r="AH85" s="183"/>
      <c r="AI85" s="183"/>
      <c r="AJ85" s="183"/>
      <c r="AK85" s="185" t="str">
        <f t="shared" ref="AK85:AK97" si="6">$AO$83</f>
        <v>Units?</v>
      </c>
      <c r="AL85" s="185"/>
      <c r="AO85" s="91">
        <f t="shared" si="2"/>
        <v>1</v>
      </c>
    </row>
    <row r="86" spans="1:42" ht="15" customHeight="1" x14ac:dyDescent="0.3">
      <c r="B86" s="247">
        <f>'Form 2B.1 - Design'!C96</f>
        <v>0</v>
      </c>
      <c r="C86" s="247"/>
      <c r="D86" s="247"/>
      <c r="E86" s="22" t="s">
        <v>39</v>
      </c>
      <c r="G86" s="248">
        <f>'Form 2B.1 - Design'!H96</f>
        <v>0</v>
      </c>
      <c r="H86" s="248"/>
      <c r="I86" s="248"/>
      <c r="J86" s="248"/>
      <c r="K86" s="185" t="str">
        <f t="shared" si="3"/>
        <v>Units?</v>
      </c>
      <c r="L86" s="185"/>
      <c r="M86" s="252">
        <f>'Form 2B.1 - Design'!M96</f>
        <v>0</v>
      </c>
      <c r="N86" s="252"/>
      <c r="O86" s="252"/>
      <c r="P86" s="252"/>
      <c r="Q86" s="185" t="str">
        <f t="shared" si="4"/>
        <v>Units?</v>
      </c>
      <c r="R86" s="185"/>
      <c r="U86" s="55"/>
      <c r="V86" s="211"/>
      <c r="W86" s="211"/>
      <c r="X86" s="211"/>
      <c r="Y86" s="22" t="s">
        <v>39</v>
      </c>
      <c r="AA86" s="183"/>
      <c r="AB86" s="183"/>
      <c r="AC86" s="183"/>
      <c r="AD86" s="183"/>
      <c r="AE86" s="185" t="str">
        <f t="shared" si="5"/>
        <v>Units?</v>
      </c>
      <c r="AF86" s="185"/>
      <c r="AG86" s="183"/>
      <c r="AH86" s="183"/>
      <c r="AI86" s="183"/>
      <c r="AJ86" s="183"/>
      <c r="AK86" s="185" t="str">
        <f t="shared" si="6"/>
        <v>Units?</v>
      </c>
      <c r="AL86" s="185"/>
      <c r="AO86" s="91">
        <f t="shared" si="2"/>
        <v>1</v>
      </c>
    </row>
    <row r="87" spans="1:42" ht="15" customHeight="1" x14ac:dyDescent="0.3">
      <c r="B87" s="247">
        <f>'Form 2B.1 - Design'!C97</f>
        <v>0</v>
      </c>
      <c r="C87" s="247"/>
      <c r="D87" s="247"/>
      <c r="E87" s="22" t="s">
        <v>39</v>
      </c>
      <c r="G87" s="248">
        <f>'Form 2B.1 - Design'!H97</f>
        <v>0</v>
      </c>
      <c r="H87" s="248"/>
      <c r="I87" s="248"/>
      <c r="J87" s="248"/>
      <c r="K87" s="185" t="str">
        <f t="shared" si="3"/>
        <v>Units?</v>
      </c>
      <c r="L87" s="185"/>
      <c r="M87" s="252">
        <f>'Form 2B.1 - Design'!M97</f>
        <v>0</v>
      </c>
      <c r="N87" s="252"/>
      <c r="O87" s="252"/>
      <c r="P87" s="252"/>
      <c r="Q87" s="185" t="str">
        <f t="shared" si="4"/>
        <v>Units?</v>
      </c>
      <c r="R87" s="185"/>
      <c r="U87" s="55"/>
      <c r="V87" s="211"/>
      <c r="W87" s="211"/>
      <c r="X87" s="211"/>
      <c r="Y87" s="22" t="s">
        <v>39</v>
      </c>
      <c r="AA87" s="183"/>
      <c r="AB87" s="183"/>
      <c r="AC87" s="183"/>
      <c r="AD87" s="183"/>
      <c r="AE87" s="185" t="str">
        <f t="shared" si="5"/>
        <v>Units?</v>
      </c>
      <c r="AF87" s="185"/>
      <c r="AG87" s="183"/>
      <c r="AH87" s="183"/>
      <c r="AI87" s="183"/>
      <c r="AJ87" s="183"/>
      <c r="AK87" s="185" t="str">
        <f t="shared" si="6"/>
        <v>Units?</v>
      </c>
      <c r="AL87" s="185"/>
      <c r="AO87" s="91">
        <f t="shared" si="2"/>
        <v>1</v>
      </c>
    </row>
    <row r="88" spans="1:42" ht="15" customHeight="1" x14ac:dyDescent="0.3">
      <c r="B88" s="247">
        <f>'Form 2B.1 - Design'!C98</f>
        <v>0</v>
      </c>
      <c r="C88" s="247"/>
      <c r="D88" s="247"/>
      <c r="E88" s="22" t="s">
        <v>39</v>
      </c>
      <c r="G88" s="248">
        <f>'Form 2B.1 - Design'!H98</f>
        <v>0</v>
      </c>
      <c r="H88" s="248"/>
      <c r="I88" s="248"/>
      <c r="J88" s="248"/>
      <c r="K88" s="185" t="str">
        <f t="shared" si="3"/>
        <v>Units?</v>
      </c>
      <c r="L88" s="185"/>
      <c r="M88" s="252">
        <f>'Form 2B.1 - Design'!M98</f>
        <v>0</v>
      </c>
      <c r="N88" s="252"/>
      <c r="O88" s="252"/>
      <c r="P88" s="252"/>
      <c r="Q88" s="185" t="str">
        <f t="shared" si="4"/>
        <v>Units?</v>
      </c>
      <c r="R88" s="185"/>
      <c r="U88" s="55"/>
      <c r="V88" s="211"/>
      <c r="W88" s="211"/>
      <c r="X88" s="211"/>
      <c r="Y88" s="22" t="s">
        <v>39</v>
      </c>
      <c r="AA88" s="183"/>
      <c r="AB88" s="183"/>
      <c r="AC88" s="183"/>
      <c r="AD88" s="183"/>
      <c r="AE88" s="185" t="str">
        <f t="shared" si="5"/>
        <v>Units?</v>
      </c>
      <c r="AF88" s="185"/>
      <c r="AG88" s="183"/>
      <c r="AH88" s="183"/>
      <c r="AI88" s="183"/>
      <c r="AJ88" s="183"/>
      <c r="AK88" s="185" t="str">
        <f t="shared" si="6"/>
        <v>Units?</v>
      </c>
      <c r="AL88" s="185"/>
      <c r="AO88" s="91">
        <f t="shared" si="2"/>
        <v>1</v>
      </c>
    </row>
    <row r="89" spans="1:42" ht="15" customHeight="1" x14ac:dyDescent="0.3">
      <c r="B89" s="247">
        <f>'Form 2B.1 - Design'!C99</f>
        <v>0</v>
      </c>
      <c r="C89" s="247"/>
      <c r="D89" s="247"/>
      <c r="E89" s="22" t="s">
        <v>39</v>
      </c>
      <c r="G89" s="248">
        <f>'Form 2B.1 - Design'!H99</f>
        <v>0</v>
      </c>
      <c r="H89" s="248"/>
      <c r="I89" s="248"/>
      <c r="J89" s="248"/>
      <c r="K89" s="185" t="str">
        <f t="shared" si="3"/>
        <v>Units?</v>
      </c>
      <c r="L89" s="185"/>
      <c r="M89" s="252">
        <f>'Form 2B.1 - Design'!M99</f>
        <v>0</v>
      </c>
      <c r="N89" s="252"/>
      <c r="O89" s="252"/>
      <c r="P89" s="252"/>
      <c r="Q89" s="185" t="str">
        <f t="shared" si="4"/>
        <v>Units?</v>
      </c>
      <c r="R89" s="185"/>
      <c r="U89" s="55"/>
      <c r="V89" s="211"/>
      <c r="W89" s="211"/>
      <c r="X89" s="211"/>
      <c r="Y89" s="22" t="s">
        <v>39</v>
      </c>
      <c r="AA89" s="183"/>
      <c r="AB89" s="183"/>
      <c r="AC89" s="183"/>
      <c r="AD89" s="183"/>
      <c r="AE89" s="185" t="str">
        <f t="shared" si="5"/>
        <v>Units?</v>
      </c>
      <c r="AF89" s="185"/>
      <c r="AG89" s="183"/>
      <c r="AH89" s="183"/>
      <c r="AI89" s="183"/>
      <c r="AJ89" s="183"/>
      <c r="AK89" s="185" t="str">
        <f t="shared" si="6"/>
        <v>Units?</v>
      </c>
      <c r="AL89" s="185"/>
      <c r="AO89" s="91">
        <f t="shared" si="2"/>
        <v>1</v>
      </c>
    </row>
    <row r="90" spans="1:42" ht="15" customHeight="1" x14ac:dyDescent="0.3">
      <c r="B90" s="247">
        <f>'Form 2B.1 - Design'!C100</f>
        <v>0</v>
      </c>
      <c r="C90" s="247"/>
      <c r="D90" s="247"/>
      <c r="E90" s="22" t="s">
        <v>39</v>
      </c>
      <c r="G90" s="248">
        <f>'Form 2B.1 - Design'!H100</f>
        <v>0</v>
      </c>
      <c r="H90" s="248"/>
      <c r="I90" s="248"/>
      <c r="J90" s="248"/>
      <c r="K90" s="185" t="str">
        <f t="shared" si="3"/>
        <v>Units?</v>
      </c>
      <c r="L90" s="185"/>
      <c r="M90" s="252">
        <f>'Form 2B.1 - Design'!M100</f>
        <v>0</v>
      </c>
      <c r="N90" s="252"/>
      <c r="O90" s="252"/>
      <c r="P90" s="252"/>
      <c r="Q90" s="185" t="str">
        <f t="shared" si="4"/>
        <v>Units?</v>
      </c>
      <c r="R90" s="185"/>
      <c r="U90" s="55"/>
      <c r="V90" s="211"/>
      <c r="W90" s="211"/>
      <c r="X90" s="211"/>
      <c r="Y90" s="22" t="s">
        <v>39</v>
      </c>
      <c r="AA90" s="183"/>
      <c r="AB90" s="183"/>
      <c r="AC90" s="183"/>
      <c r="AD90" s="183"/>
      <c r="AE90" s="185" t="str">
        <f t="shared" si="5"/>
        <v>Units?</v>
      </c>
      <c r="AF90" s="185"/>
      <c r="AG90" s="183"/>
      <c r="AH90" s="183"/>
      <c r="AI90" s="183"/>
      <c r="AJ90" s="183"/>
      <c r="AK90" s="185" t="str">
        <f t="shared" si="6"/>
        <v>Units?</v>
      </c>
      <c r="AL90" s="185"/>
      <c r="AO90" s="91">
        <f t="shared" si="2"/>
        <v>1</v>
      </c>
    </row>
    <row r="91" spans="1:42" ht="15" customHeight="1" x14ac:dyDescent="0.3">
      <c r="B91" s="247">
        <f>'Form 2B.1 - Design'!S94</f>
        <v>0</v>
      </c>
      <c r="C91" s="247"/>
      <c r="D91" s="247"/>
      <c r="E91" s="22" t="s">
        <v>39</v>
      </c>
      <c r="G91" s="248">
        <f>'Form 2B.1 - Design'!X94</f>
        <v>0</v>
      </c>
      <c r="H91" s="248"/>
      <c r="I91" s="248"/>
      <c r="J91" s="248"/>
      <c r="K91" s="185" t="str">
        <f t="shared" si="3"/>
        <v>Units?</v>
      </c>
      <c r="L91" s="185"/>
      <c r="M91" s="252">
        <f>'Form 2B.1 - Design'!AC94</f>
        <v>0</v>
      </c>
      <c r="N91" s="252"/>
      <c r="O91" s="252"/>
      <c r="P91" s="252"/>
      <c r="Q91" s="185" t="str">
        <f t="shared" si="4"/>
        <v>Units?</v>
      </c>
      <c r="R91" s="185"/>
      <c r="U91" s="55"/>
      <c r="V91" s="211"/>
      <c r="W91" s="211"/>
      <c r="X91" s="211"/>
      <c r="Y91" s="22" t="s">
        <v>39</v>
      </c>
      <c r="AA91" s="183"/>
      <c r="AB91" s="183"/>
      <c r="AC91" s="183"/>
      <c r="AD91" s="183"/>
      <c r="AE91" s="185" t="str">
        <f t="shared" si="5"/>
        <v>Units?</v>
      </c>
      <c r="AF91" s="185"/>
      <c r="AG91" s="183"/>
      <c r="AH91" s="183"/>
      <c r="AI91" s="183"/>
      <c r="AJ91" s="183"/>
      <c r="AK91" s="185" t="str">
        <f t="shared" si="6"/>
        <v>Units?</v>
      </c>
      <c r="AL91" s="185"/>
      <c r="AO91" s="91">
        <f t="shared" si="2"/>
        <v>1</v>
      </c>
    </row>
    <row r="92" spans="1:42" ht="15" customHeight="1" x14ac:dyDescent="0.3">
      <c r="B92" s="247">
        <f>'Form 2B.1 - Design'!S95</f>
        <v>0</v>
      </c>
      <c r="C92" s="247"/>
      <c r="D92" s="247"/>
      <c r="E92" s="22" t="s">
        <v>39</v>
      </c>
      <c r="G92" s="248">
        <f>'Form 2B.1 - Design'!X95</f>
        <v>0</v>
      </c>
      <c r="H92" s="248"/>
      <c r="I92" s="248"/>
      <c r="J92" s="248"/>
      <c r="K92" s="185" t="str">
        <f t="shared" si="3"/>
        <v>Units?</v>
      </c>
      <c r="L92" s="185"/>
      <c r="M92" s="252">
        <f>'Form 2B.1 - Design'!AC95</f>
        <v>0</v>
      </c>
      <c r="N92" s="252"/>
      <c r="O92" s="252"/>
      <c r="P92" s="252"/>
      <c r="Q92" s="185" t="str">
        <f t="shared" si="4"/>
        <v>Units?</v>
      </c>
      <c r="R92" s="185"/>
      <c r="U92" s="55"/>
      <c r="V92" s="211"/>
      <c r="W92" s="211"/>
      <c r="X92" s="211"/>
      <c r="Y92" s="22" t="s">
        <v>39</v>
      </c>
      <c r="AA92" s="183"/>
      <c r="AB92" s="183"/>
      <c r="AC92" s="183"/>
      <c r="AD92" s="183"/>
      <c r="AE92" s="185" t="str">
        <f t="shared" si="5"/>
        <v>Units?</v>
      </c>
      <c r="AF92" s="185"/>
      <c r="AG92" s="183"/>
      <c r="AH92" s="183"/>
      <c r="AI92" s="183"/>
      <c r="AJ92" s="183"/>
      <c r="AK92" s="185" t="str">
        <f t="shared" si="6"/>
        <v>Units?</v>
      </c>
      <c r="AL92" s="185"/>
      <c r="AO92" s="91">
        <f t="shared" si="2"/>
        <v>1</v>
      </c>
    </row>
    <row r="93" spans="1:42" ht="15" customHeight="1" x14ac:dyDescent="0.3">
      <c r="B93" s="247">
        <f>'Form 2B.1 - Design'!S96</f>
        <v>0</v>
      </c>
      <c r="C93" s="247"/>
      <c r="D93" s="247"/>
      <c r="E93" s="22" t="s">
        <v>39</v>
      </c>
      <c r="G93" s="248"/>
      <c r="H93" s="248"/>
      <c r="I93" s="248"/>
      <c r="J93" s="248"/>
      <c r="K93" s="185" t="str">
        <f t="shared" si="3"/>
        <v>Units?</v>
      </c>
      <c r="L93" s="185"/>
      <c r="M93" s="252">
        <f>'Form 2B.1 - Design'!AC96</f>
        <v>0</v>
      </c>
      <c r="N93" s="252"/>
      <c r="O93" s="252"/>
      <c r="P93" s="252"/>
      <c r="Q93" s="185" t="str">
        <f t="shared" si="4"/>
        <v>Units?</v>
      </c>
      <c r="R93" s="185"/>
      <c r="U93" s="55"/>
      <c r="V93" s="211"/>
      <c r="W93" s="211"/>
      <c r="X93" s="211"/>
      <c r="Y93" s="22" t="s">
        <v>39</v>
      </c>
      <c r="AA93" s="183"/>
      <c r="AB93" s="183"/>
      <c r="AC93" s="183"/>
      <c r="AD93" s="183"/>
      <c r="AE93" s="185" t="str">
        <f t="shared" si="5"/>
        <v>Units?</v>
      </c>
      <c r="AF93" s="185"/>
      <c r="AG93" s="183"/>
      <c r="AH93" s="183"/>
      <c r="AI93" s="183"/>
      <c r="AJ93" s="183"/>
      <c r="AK93" s="185" t="str">
        <f t="shared" si="6"/>
        <v>Units?</v>
      </c>
      <c r="AL93" s="185"/>
      <c r="AO93" s="91">
        <f t="shared" si="2"/>
        <v>1</v>
      </c>
    </row>
    <row r="94" spans="1:42" ht="15" customHeight="1" x14ac:dyDescent="0.3">
      <c r="B94" s="247">
        <f>'Form 2B.1 - Design'!S97</f>
        <v>0</v>
      </c>
      <c r="C94" s="247"/>
      <c r="D94" s="247"/>
      <c r="E94" s="22" t="s">
        <v>39</v>
      </c>
      <c r="G94" s="248">
        <f>'Form 2B.1 - Design'!X97</f>
        <v>0</v>
      </c>
      <c r="H94" s="248"/>
      <c r="I94" s="248"/>
      <c r="J94" s="248"/>
      <c r="K94" s="185" t="str">
        <f t="shared" si="3"/>
        <v>Units?</v>
      </c>
      <c r="L94" s="185"/>
      <c r="M94" s="252">
        <f>'Form 2B.1 - Design'!AC97</f>
        <v>0</v>
      </c>
      <c r="N94" s="252"/>
      <c r="O94" s="252"/>
      <c r="P94" s="252"/>
      <c r="Q94" s="185" t="str">
        <f t="shared" si="4"/>
        <v>Units?</v>
      </c>
      <c r="R94" s="185"/>
      <c r="U94" s="55"/>
      <c r="V94" s="211"/>
      <c r="W94" s="211"/>
      <c r="X94" s="211"/>
      <c r="Y94" s="22" t="s">
        <v>39</v>
      </c>
      <c r="AA94" s="183"/>
      <c r="AB94" s="183"/>
      <c r="AC94" s="183"/>
      <c r="AD94" s="183"/>
      <c r="AE94" s="185" t="str">
        <f t="shared" si="5"/>
        <v>Units?</v>
      </c>
      <c r="AF94" s="185"/>
      <c r="AG94" s="183"/>
      <c r="AH94" s="183"/>
      <c r="AI94" s="183"/>
      <c r="AJ94" s="183"/>
      <c r="AK94" s="185" t="str">
        <f t="shared" si="6"/>
        <v>Units?</v>
      </c>
      <c r="AL94" s="185"/>
      <c r="AO94" s="91">
        <f t="shared" si="2"/>
        <v>1</v>
      </c>
    </row>
    <row r="95" spans="1:42" ht="15" customHeight="1" x14ac:dyDescent="0.3">
      <c r="B95" s="247">
        <f>'Form 2B.1 - Design'!S98</f>
        <v>0</v>
      </c>
      <c r="C95" s="247"/>
      <c r="D95" s="247"/>
      <c r="E95" s="22" t="s">
        <v>39</v>
      </c>
      <c r="G95" s="248">
        <f>'Form 2B.1 - Design'!X98</f>
        <v>0</v>
      </c>
      <c r="H95" s="248"/>
      <c r="I95" s="248"/>
      <c r="J95" s="248"/>
      <c r="K95" s="185" t="str">
        <f t="shared" si="3"/>
        <v>Units?</v>
      </c>
      <c r="L95" s="185"/>
      <c r="M95" s="252">
        <f>'Form 2B.1 - Design'!AC98</f>
        <v>0</v>
      </c>
      <c r="N95" s="252"/>
      <c r="O95" s="252"/>
      <c r="P95" s="252"/>
      <c r="Q95" s="185" t="str">
        <f t="shared" si="4"/>
        <v>Units?</v>
      </c>
      <c r="R95" s="185"/>
      <c r="U95" s="55"/>
      <c r="V95" s="211"/>
      <c r="W95" s="211"/>
      <c r="X95" s="211"/>
      <c r="Y95" s="22" t="s">
        <v>39</v>
      </c>
      <c r="AA95" s="183"/>
      <c r="AB95" s="183"/>
      <c r="AC95" s="183"/>
      <c r="AD95" s="183"/>
      <c r="AE95" s="185" t="str">
        <f t="shared" si="5"/>
        <v>Units?</v>
      </c>
      <c r="AF95" s="185"/>
      <c r="AG95" s="183"/>
      <c r="AH95" s="183"/>
      <c r="AI95" s="183"/>
      <c r="AJ95" s="183"/>
      <c r="AK95" s="185" t="str">
        <f t="shared" si="6"/>
        <v>Units?</v>
      </c>
      <c r="AL95" s="185"/>
      <c r="AO95" s="91">
        <f t="shared" si="2"/>
        <v>1</v>
      </c>
    </row>
    <row r="96" spans="1:42" ht="15" customHeight="1" x14ac:dyDescent="0.3">
      <c r="B96" s="247">
        <f>'Form 2B.1 - Design'!S99</f>
        <v>0</v>
      </c>
      <c r="C96" s="247"/>
      <c r="D96" s="247"/>
      <c r="E96" s="22" t="s">
        <v>39</v>
      </c>
      <c r="G96" s="248">
        <f>'Form 2B.1 - Design'!X99</f>
        <v>0</v>
      </c>
      <c r="H96" s="248"/>
      <c r="I96" s="248"/>
      <c r="J96" s="248"/>
      <c r="K96" s="185" t="str">
        <f t="shared" si="3"/>
        <v>Units?</v>
      </c>
      <c r="L96" s="185"/>
      <c r="M96" s="252">
        <f>'Form 2B.1 - Design'!AC99</f>
        <v>0</v>
      </c>
      <c r="N96" s="252"/>
      <c r="O96" s="252"/>
      <c r="P96" s="252"/>
      <c r="Q96" s="185" t="str">
        <f t="shared" si="4"/>
        <v>Units?</v>
      </c>
      <c r="R96" s="185"/>
      <c r="U96" s="55"/>
      <c r="V96" s="211"/>
      <c r="W96" s="211"/>
      <c r="X96" s="211"/>
      <c r="Y96" s="22" t="s">
        <v>39</v>
      </c>
      <c r="AA96" s="183"/>
      <c r="AB96" s="183"/>
      <c r="AC96" s="183"/>
      <c r="AD96" s="183"/>
      <c r="AE96" s="185" t="str">
        <f t="shared" si="5"/>
        <v>Units?</v>
      </c>
      <c r="AF96" s="185"/>
      <c r="AG96" s="183"/>
      <c r="AH96" s="183"/>
      <c r="AI96" s="183"/>
      <c r="AJ96" s="183"/>
      <c r="AK96" s="185" t="str">
        <f t="shared" si="6"/>
        <v>Units?</v>
      </c>
      <c r="AL96" s="185"/>
      <c r="AO96" s="91">
        <f t="shared" si="2"/>
        <v>1</v>
      </c>
    </row>
    <row r="97" spans="1:44" ht="15" customHeight="1" x14ac:dyDescent="0.3">
      <c r="B97" s="247">
        <f>'Form 2B.1 - Design'!S100</f>
        <v>0</v>
      </c>
      <c r="C97" s="247"/>
      <c r="D97" s="247"/>
      <c r="E97" s="22" t="s">
        <v>39</v>
      </c>
      <c r="G97" s="248">
        <f>'Form 2B.1 - Design'!X100</f>
        <v>0</v>
      </c>
      <c r="H97" s="248"/>
      <c r="I97" s="248"/>
      <c r="J97" s="248"/>
      <c r="K97" s="185" t="str">
        <f t="shared" si="3"/>
        <v>Units?</v>
      </c>
      <c r="L97" s="185"/>
      <c r="M97" s="252">
        <f>'Form 2B.1 - Design'!AC100</f>
        <v>0</v>
      </c>
      <c r="N97" s="252"/>
      <c r="O97" s="252"/>
      <c r="P97" s="252"/>
      <c r="Q97" s="185" t="str">
        <f t="shared" si="4"/>
        <v>Units?</v>
      </c>
      <c r="R97" s="185"/>
      <c r="U97" s="55"/>
      <c r="V97" s="211"/>
      <c r="W97" s="211"/>
      <c r="X97" s="211"/>
      <c r="Y97" s="22" t="s">
        <v>39</v>
      </c>
      <c r="AA97" s="183"/>
      <c r="AB97" s="183"/>
      <c r="AC97" s="183"/>
      <c r="AD97" s="183"/>
      <c r="AE97" s="185" t="str">
        <f t="shared" si="5"/>
        <v>Units?</v>
      </c>
      <c r="AF97" s="185"/>
      <c r="AG97" s="183"/>
      <c r="AH97" s="183"/>
      <c r="AI97" s="183"/>
      <c r="AJ97" s="183"/>
      <c r="AK97" s="185" t="str">
        <f t="shared" si="6"/>
        <v>Units?</v>
      </c>
      <c r="AL97" s="185"/>
      <c r="AO97" s="91">
        <f t="shared" si="2"/>
        <v>1</v>
      </c>
    </row>
    <row r="98" spans="1:44" ht="4.95" customHeight="1" x14ac:dyDescent="0.3">
      <c r="H98" s="26"/>
      <c r="J98" s="32"/>
      <c r="K98" s="32"/>
      <c r="L98" s="32"/>
      <c r="N98" s="36"/>
      <c r="O98" s="36"/>
      <c r="P98" s="36"/>
      <c r="Q98" s="36"/>
      <c r="W98" s="26"/>
      <c r="X98" s="26"/>
      <c r="Y98" s="26"/>
      <c r="AA98" s="32"/>
      <c r="AB98" s="32"/>
      <c r="AC98" s="32"/>
      <c r="AE98" s="36"/>
      <c r="AF98" s="36"/>
      <c r="AG98" s="36"/>
      <c r="AH98" s="36"/>
    </row>
    <row r="99" spans="1:44" ht="15" customHeight="1" x14ac:dyDescent="0.3">
      <c r="H99" s="26"/>
      <c r="J99" s="32"/>
      <c r="K99" s="32"/>
      <c r="L99" s="32"/>
      <c r="N99" s="36"/>
      <c r="O99" s="36"/>
      <c r="P99" s="36"/>
      <c r="Q99" s="36"/>
      <c r="W99" s="26"/>
      <c r="X99" s="26"/>
      <c r="Y99" s="26"/>
      <c r="AA99" s="32"/>
      <c r="AB99" s="32"/>
      <c r="AC99" s="32"/>
      <c r="AE99" s="36"/>
      <c r="AF99" s="36"/>
      <c r="AG99" s="36"/>
      <c r="AH99" s="36"/>
    </row>
    <row r="100" spans="1:44" ht="15" customHeight="1" x14ac:dyDescent="0.3">
      <c r="H100" s="26"/>
      <c r="J100" s="32"/>
      <c r="K100" s="32"/>
      <c r="L100" s="32"/>
      <c r="N100" s="36"/>
      <c r="O100" s="36"/>
      <c r="P100" s="36"/>
      <c r="Q100" s="36"/>
      <c r="W100" s="26"/>
      <c r="X100" s="26"/>
      <c r="Y100" s="26"/>
      <c r="AA100" s="32"/>
      <c r="AB100" s="32"/>
      <c r="AC100" s="32"/>
      <c r="AE100" s="36"/>
      <c r="AF100" s="36"/>
      <c r="AG100" s="36"/>
      <c r="AH100" s="36"/>
    </row>
    <row r="101" spans="1:44" ht="15" customHeight="1" x14ac:dyDescent="0.3">
      <c r="H101" s="26"/>
      <c r="J101" s="32"/>
      <c r="K101" s="32"/>
      <c r="L101" s="32"/>
      <c r="N101" s="36"/>
      <c r="O101" s="36"/>
      <c r="P101" s="36"/>
      <c r="Q101" s="36"/>
      <c r="W101" s="26"/>
      <c r="X101" s="26"/>
      <c r="Y101" s="26"/>
      <c r="AA101" s="32"/>
      <c r="AB101" s="32"/>
      <c r="AC101" s="32"/>
      <c r="AE101" s="36"/>
      <c r="AF101" s="36"/>
      <c r="AG101" s="36"/>
      <c r="AH101" s="36"/>
    </row>
    <row r="102" spans="1:44" ht="15" customHeight="1" x14ac:dyDescent="0.3">
      <c r="H102" s="26"/>
      <c r="J102" s="32"/>
      <c r="K102" s="32"/>
      <c r="L102" s="32"/>
      <c r="N102" s="36"/>
      <c r="O102" s="36"/>
      <c r="P102" s="36"/>
      <c r="Q102" s="36"/>
      <c r="W102" s="26"/>
      <c r="X102" s="26"/>
      <c r="Y102" s="26"/>
      <c r="AA102" s="32"/>
      <c r="AB102" s="32"/>
      <c r="AC102" s="32"/>
      <c r="AE102" s="36"/>
      <c r="AF102" s="36"/>
      <c r="AG102" s="36"/>
      <c r="AH102" s="36"/>
    </row>
    <row r="103" spans="1:44" ht="15" customHeight="1" x14ac:dyDescent="0.3">
      <c r="H103" s="26"/>
      <c r="J103" s="32"/>
      <c r="K103" s="32"/>
      <c r="L103" s="32"/>
      <c r="N103" s="36"/>
      <c r="O103" s="36"/>
      <c r="P103" s="36"/>
      <c r="Q103" s="36"/>
      <c r="W103" s="26"/>
      <c r="X103" s="26"/>
      <c r="Y103" s="26"/>
      <c r="AA103" s="32"/>
      <c r="AB103" s="32"/>
      <c r="AC103" s="32"/>
      <c r="AE103" s="36"/>
      <c r="AF103" s="36"/>
      <c r="AG103" s="36"/>
      <c r="AH103" s="36"/>
    </row>
    <row r="104" spans="1:44" ht="15" customHeight="1" x14ac:dyDescent="0.3">
      <c r="H104" s="26"/>
      <c r="J104" s="32"/>
      <c r="K104" s="32"/>
      <c r="L104" s="32"/>
      <c r="N104" s="36"/>
      <c r="O104" s="36"/>
      <c r="P104" s="36"/>
      <c r="Q104" s="36"/>
      <c r="W104" s="26"/>
      <c r="X104" s="26"/>
      <c r="Y104" s="26"/>
      <c r="AA104" s="32"/>
      <c r="AB104" s="32"/>
      <c r="AC104" s="32"/>
      <c r="AE104" s="36"/>
      <c r="AF104" s="36"/>
      <c r="AG104" s="36"/>
      <c r="AH104" s="36"/>
    </row>
    <row r="105" spans="1:44" ht="15" customHeight="1" x14ac:dyDescent="0.3">
      <c r="AK105" s="26"/>
    </row>
    <row r="106" spans="1:44" ht="15" customHeight="1" x14ac:dyDescent="0.3">
      <c r="B106" s="203">
        <f>Tables!$F$13</f>
        <v>45931</v>
      </c>
      <c r="C106" s="203"/>
      <c r="D106" s="203"/>
      <c r="E106" s="203"/>
      <c r="F106" s="203"/>
      <c r="G106" s="203"/>
      <c r="H106" s="203"/>
      <c r="R106" s="189" t="s">
        <v>450</v>
      </c>
      <c r="S106" s="189"/>
      <c r="T106" s="189"/>
      <c r="U106" s="189"/>
      <c r="AK106" s="26"/>
    </row>
    <row r="107" spans="1:44" ht="15" customHeight="1" x14ac:dyDescent="0.3">
      <c r="C107" s="2" t="s">
        <v>1</v>
      </c>
      <c r="D107" s="210">
        <f>IF(ISBLANK($E$7),"",$E$7)</f>
        <v>0</v>
      </c>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34"/>
      <c r="AB107" s="34"/>
      <c r="AC107" s="34"/>
      <c r="AF107" s="2" t="s">
        <v>19</v>
      </c>
      <c r="AG107" s="187">
        <f>$AF$7</f>
        <v>0</v>
      </c>
      <c r="AH107" s="187"/>
      <c r="AI107" s="187"/>
      <c r="AJ107" s="187"/>
      <c r="AK107" s="187"/>
    </row>
    <row r="108" spans="1:44" ht="15" customHeight="1" x14ac:dyDescent="0.3">
      <c r="H108" s="35"/>
      <c r="I108" s="35"/>
      <c r="J108" s="2"/>
      <c r="K108" s="2"/>
      <c r="L108" s="2"/>
      <c r="M108" s="35"/>
      <c r="N108" s="34"/>
      <c r="O108" s="34"/>
      <c r="P108" s="34"/>
      <c r="Q108" s="34"/>
      <c r="R108" s="34"/>
      <c r="S108" s="34"/>
      <c r="T108" s="34"/>
      <c r="U108" s="34"/>
      <c r="V108" s="34"/>
      <c r="W108" s="34"/>
      <c r="X108" s="34"/>
      <c r="Y108" s="34"/>
      <c r="Z108" s="34"/>
      <c r="AA108" s="34"/>
      <c r="AB108" s="34"/>
      <c r="AC108" s="34"/>
      <c r="AF108" s="2" t="s">
        <v>32</v>
      </c>
      <c r="AG108" s="254">
        <f>IF(ISBLANK($AF$8),"",$AF$8)</f>
        <v>0</v>
      </c>
      <c r="AH108" s="254"/>
      <c r="AI108" s="254"/>
      <c r="AJ108" s="254"/>
      <c r="AK108" s="254"/>
    </row>
    <row r="109" spans="1:44" ht="4.95" customHeight="1" x14ac:dyDescent="0.3">
      <c r="H109" s="26"/>
      <c r="J109" s="32"/>
      <c r="K109" s="32"/>
      <c r="L109" s="32"/>
      <c r="N109" s="36"/>
      <c r="O109" s="36"/>
      <c r="P109" s="36"/>
      <c r="Q109" s="36"/>
      <c r="W109" s="26"/>
      <c r="X109" s="26"/>
      <c r="Y109" s="26"/>
      <c r="AA109" s="32"/>
      <c r="AB109" s="32"/>
      <c r="AC109" s="32"/>
      <c r="AE109" s="36"/>
      <c r="AF109" s="36"/>
      <c r="AG109" s="36"/>
      <c r="AH109" s="36"/>
    </row>
    <row r="110" spans="1:44" ht="15" customHeight="1" x14ac:dyDescent="0.3">
      <c r="A110" s="246" t="s">
        <v>395</v>
      </c>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93"/>
      <c r="AN110" s="95"/>
      <c r="AP110" s="90">
        <f>Tables!F26</f>
        <v>6</v>
      </c>
      <c r="AQ110" s="100" t="s">
        <v>282</v>
      </c>
      <c r="AR110" s="100"/>
    </row>
    <row r="111" spans="1:44" ht="30" customHeight="1" x14ac:dyDescent="0.3">
      <c r="B111" s="1" t="s">
        <v>51</v>
      </c>
      <c r="I111" s="243" t="s">
        <v>120</v>
      </c>
      <c r="J111" s="243"/>
      <c r="K111" s="243"/>
      <c r="L111" s="132"/>
      <c r="M111" s="243" t="s">
        <v>121</v>
      </c>
      <c r="N111" s="243"/>
      <c r="O111" s="243"/>
      <c r="Q111" s="243" t="s">
        <v>122</v>
      </c>
      <c r="R111" s="243"/>
      <c r="S111" s="243"/>
      <c r="U111" s="243" t="s">
        <v>266</v>
      </c>
      <c r="V111" s="243"/>
      <c r="W111" s="243"/>
      <c r="Y111" s="243" t="s">
        <v>437</v>
      </c>
      <c r="Z111" s="243"/>
      <c r="AA111" s="243"/>
      <c r="AB111" s="243"/>
      <c r="AD111" s="243" t="s">
        <v>438</v>
      </c>
      <c r="AE111" s="243"/>
      <c r="AF111" s="243"/>
      <c r="AH111" s="243" t="s">
        <v>123</v>
      </c>
      <c r="AI111" s="243"/>
      <c r="AJ111" s="243"/>
      <c r="AK111" s="243"/>
      <c r="AM111" s="14" t="s">
        <v>374</v>
      </c>
      <c r="AN111" s="14" t="s">
        <v>369</v>
      </c>
      <c r="AO111" s="16" t="s">
        <v>399</v>
      </c>
    </row>
    <row r="112" spans="1:44" ht="15" customHeight="1" x14ac:dyDescent="0.3">
      <c r="C112" s="202">
        <f>Tables!$F$16</f>
        <v>6.02</v>
      </c>
      <c r="D112" s="202"/>
      <c r="G112" s="2" t="str">
        <f>Tables!$D$16</f>
        <v>(2-yr)</v>
      </c>
      <c r="I112" s="221">
        <f>'Form 2B.1 - Design'!I108</f>
        <v>0</v>
      </c>
      <c r="J112" s="221"/>
      <c r="K112" s="221"/>
      <c r="L112" s="6"/>
      <c r="M112" s="232">
        <f>'Form 2B.1 - Design'!M108</f>
        <v>0</v>
      </c>
      <c r="N112" s="232"/>
      <c r="O112" s="232"/>
      <c r="Q112" s="232">
        <f>'Form 2B.1 - Design'!Q108</f>
        <v>0</v>
      </c>
      <c r="R112" s="232"/>
      <c r="S112" s="232"/>
      <c r="U112" s="232">
        <f>'Form 2B.1 - Design'!U108</f>
        <v>0</v>
      </c>
      <c r="V112" s="232"/>
      <c r="W112" s="232"/>
      <c r="Y112" s="232">
        <f>'Form 2B.1 - Design'!Y108</f>
        <v>0</v>
      </c>
      <c r="Z112" s="232"/>
      <c r="AA112" s="232"/>
      <c r="AB112" s="232"/>
      <c r="AD112" s="232">
        <f>'Form 2B.1 - Design'!AC108</f>
        <v>0</v>
      </c>
      <c r="AE112" s="232"/>
      <c r="AF112" s="232"/>
      <c r="AH112" s="232">
        <f>'Form 2B.1 - Design'!AG108</f>
        <v>0</v>
      </c>
      <c r="AI112" s="232"/>
      <c r="AJ112" s="232"/>
      <c r="AK112" s="232"/>
      <c r="AM112" s="91">
        <f t="shared" ref="AM112:AM117" si="7">IF(AH112&gt;I112,1,0)</f>
        <v>0</v>
      </c>
      <c r="AN112" s="91">
        <f>IF(OR($AR$113=0,$AR$115=2),0,IF($AH112&gt;$AR$113,1,0))</f>
        <v>0</v>
      </c>
      <c r="AO112" s="91">
        <f>IF(OR($AR$114=0,$AR$115=2),0,IF($AH112&gt;$AR$114,1,0))</f>
        <v>0</v>
      </c>
      <c r="AQ112" s="16" t="s">
        <v>400</v>
      </c>
      <c r="AR112" s="16" t="s">
        <v>145</v>
      </c>
    </row>
    <row r="113" spans="2:46" ht="15" customHeight="1" x14ac:dyDescent="0.3">
      <c r="C113" s="202">
        <f>Tables!$F$17</f>
        <v>7.68</v>
      </c>
      <c r="D113" s="202"/>
      <c r="G113" s="2" t="str">
        <f>Tables!$D$17</f>
        <v>(5-yr)</v>
      </c>
      <c r="I113" s="245">
        <f>'Form 2B.1 - Design'!I109</f>
        <v>0</v>
      </c>
      <c r="J113" s="245"/>
      <c r="K113" s="245"/>
      <c r="L113" s="6"/>
      <c r="M113" s="244">
        <f>'Form 2B.1 - Design'!M109</f>
        <v>0</v>
      </c>
      <c r="N113" s="244"/>
      <c r="O113" s="244"/>
      <c r="Q113" s="244">
        <f>'Form 2B.1 - Design'!Q109</f>
        <v>0</v>
      </c>
      <c r="R113" s="244"/>
      <c r="S113" s="244"/>
      <c r="U113" s="244">
        <f>'Form 2B.1 - Design'!U109</f>
        <v>0</v>
      </c>
      <c r="V113" s="244"/>
      <c r="W113" s="244"/>
      <c r="Y113" s="232">
        <f>'Form 2B.1 - Design'!Y109</f>
        <v>0</v>
      </c>
      <c r="Z113" s="232"/>
      <c r="AA113" s="232"/>
      <c r="AB113" s="232"/>
      <c r="AD113" s="244">
        <f>'Form 2B.1 - Design'!AC109</f>
        <v>0</v>
      </c>
      <c r="AE113" s="244"/>
      <c r="AF113" s="244"/>
      <c r="AH113" s="244">
        <f>'Form 2B.1 - Design'!AG109</f>
        <v>0</v>
      </c>
      <c r="AI113" s="244"/>
      <c r="AJ113" s="244"/>
      <c r="AK113" s="244"/>
      <c r="AM113" s="91">
        <f t="shared" si="7"/>
        <v>0</v>
      </c>
      <c r="AN113" s="91">
        <f t="shared" ref="AN113:AN117" si="8">IF(OR($AR$113=0,$AR$115=2),0,IF($AH113&gt;$AR$113,1,0))</f>
        <v>0</v>
      </c>
      <c r="AO113" s="91">
        <f t="shared" ref="AO113:AO117" si="9">IF(OR($AR$114=0,$AR$115=2),0,IF($AH113&gt;$AR$114,1,0))</f>
        <v>0</v>
      </c>
      <c r="AP113" s="121">
        <f>IF(AQ113="Yes",'Form 2B.1 - Design'!AM124,1)</f>
        <v>1</v>
      </c>
      <c r="AQ113" s="91" t="str">
        <f>'Form 2B.1 - Design'!AO124</f>
        <v>No</v>
      </c>
      <c r="AR113" s="96">
        <f>'Form 2B.1 - Design'!AN124</f>
        <v>0</v>
      </c>
      <c r="AS113" s="100" t="s">
        <v>369</v>
      </c>
      <c r="AT113" s="100"/>
    </row>
    <row r="114" spans="2:46" ht="15" customHeight="1" x14ac:dyDescent="0.3">
      <c r="C114" s="202">
        <f>Tables!$F$18</f>
        <v>9.26</v>
      </c>
      <c r="D114" s="202"/>
      <c r="G114" s="2" t="str">
        <f>Tables!$D$18</f>
        <v>(10-yr)</v>
      </c>
      <c r="I114" s="245">
        <f>'Form 2B.1 - Design'!I110</f>
        <v>0</v>
      </c>
      <c r="J114" s="245"/>
      <c r="K114" s="245"/>
      <c r="L114" s="6"/>
      <c r="M114" s="244">
        <f>'Form 2B.1 - Design'!M110</f>
        <v>0</v>
      </c>
      <c r="N114" s="244"/>
      <c r="O114" s="244"/>
      <c r="Q114" s="244">
        <f>'Form 2B.1 - Design'!Q110</f>
        <v>0</v>
      </c>
      <c r="R114" s="244"/>
      <c r="S114" s="244"/>
      <c r="U114" s="244">
        <f>'Form 2B.1 - Design'!U110</f>
        <v>0</v>
      </c>
      <c r="V114" s="244"/>
      <c r="W114" s="244"/>
      <c r="Y114" s="232">
        <f>'Form 2B.1 - Design'!Y110</f>
        <v>0</v>
      </c>
      <c r="Z114" s="232"/>
      <c r="AA114" s="232"/>
      <c r="AB114" s="232"/>
      <c r="AD114" s="244">
        <f>'Form 2B.1 - Design'!AC110</f>
        <v>0</v>
      </c>
      <c r="AE114" s="244"/>
      <c r="AF114" s="244"/>
      <c r="AH114" s="244">
        <f>'Form 2B.1 - Design'!AG110</f>
        <v>0</v>
      </c>
      <c r="AI114" s="244"/>
      <c r="AJ114" s="244"/>
      <c r="AK114" s="244"/>
      <c r="AM114" s="91">
        <f t="shared" si="7"/>
        <v>0</v>
      </c>
      <c r="AN114" s="91">
        <f t="shared" si="8"/>
        <v>0</v>
      </c>
      <c r="AO114" s="91">
        <f t="shared" si="9"/>
        <v>0</v>
      </c>
      <c r="AP114" s="121">
        <f>IF(AQ114="Yes",'Form 2B.1 - Design'!AM126,1)</f>
        <v>1</v>
      </c>
      <c r="AQ114" s="91" t="str">
        <f>'Form 2B.1 - Design'!AO126</f>
        <v>No</v>
      </c>
      <c r="AR114" s="96">
        <f>'Form 2B.1 - Design'!AN126</f>
        <v>0</v>
      </c>
      <c r="AS114" s="100" t="s">
        <v>377</v>
      </c>
      <c r="AT114" s="100"/>
    </row>
    <row r="115" spans="2:46" ht="15" customHeight="1" x14ac:dyDescent="0.3">
      <c r="C115" s="202">
        <f>Tables!$F$19</f>
        <v>11.7</v>
      </c>
      <c r="D115" s="202"/>
      <c r="G115" s="2" t="str">
        <f>Tables!$D$19</f>
        <v>(25-yr)</v>
      </c>
      <c r="I115" s="245">
        <f>'Form 2B.1 - Design'!I111</f>
        <v>0</v>
      </c>
      <c r="J115" s="245"/>
      <c r="K115" s="245"/>
      <c r="L115" s="6"/>
      <c r="M115" s="244">
        <f>'Form 2B.1 - Design'!M111</f>
        <v>0</v>
      </c>
      <c r="N115" s="244"/>
      <c r="O115" s="244"/>
      <c r="Q115" s="244">
        <f>'Form 2B.1 - Design'!Q111</f>
        <v>0</v>
      </c>
      <c r="R115" s="244"/>
      <c r="S115" s="244"/>
      <c r="U115" s="244">
        <f>'Form 2B.1 - Design'!U111</f>
        <v>0</v>
      </c>
      <c r="V115" s="244"/>
      <c r="W115" s="244"/>
      <c r="Y115" s="232">
        <f>'Form 2B.1 - Design'!Y111</f>
        <v>0</v>
      </c>
      <c r="Z115" s="232"/>
      <c r="AA115" s="232"/>
      <c r="AB115" s="232"/>
      <c r="AD115" s="244">
        <f>'Form 2B.1 - Design'!AC111</f>
        <v>0</v>
      </c>
      <c r="AE115" s="244"/>
      <c r="AF115" s="244"/>
      <c r="AH115" s="244">
        <f>'Form 2B.1 - Design'!AG111</f>
        <v>0</v>
      </c>
      <c r="AI115" s="244"/>
      <c r="AJ115" s="244"/>
      <c r="AK115" s="244"/>
      <c r="AM115" s="91">
        <f t="shared" si="7"/>
        <v>0</v>
      </c>
      <c r="AN115" s="91">
        <f t="shared" si="8"/>
        <v>0</v>
      </c>
      <c r="AO115" s="91">
        <f t="shared" si="9"/>
        <v>0</v>
      </c>
      <c r="AR115" s="91">
        <f>'Form 2B.1 - Design'!AN142</f>
        <v>1</v>
      </c>
      <c r="AS115" s="14" t="s">
        <v>443</v>
      </c>
      <c r="AT115" s="14"/>
    </row>
    <row r="116" spans="2:46" ht="15" customHeight="1" x14ac:dyDescent="0.3">
      <c r="C116" s="202">
        <f>Tables!$F$20</f>
        <v>13.9</v>
      </c>
      <c r="D116" s="202"/>
      <c r="G116" s="2" t="str">
        <f>Tables!$D$20</f>
        <v>(50-yr)</v>
      </c>
      <c r="I116" s="245">
        <f>'Form 2B.1 - Design'!I112</f>
        <v>0</v>
      </c>
      <c r="J116" s="245"/>
      <c r="K116" s="245"/>
      <c r="L116" s="6"/>
      <c r="M116" s="244">
        <f>'Form 2B.1 - Design'!M112</f>
        <v>0</v>
      </c>
      <c r="N116" s="244"/>
      <c r="O116" s="244"/>
      <c r="Q116" s="244">
        <f>'Form 2B.1 - Design'!Q112</f>
        <v>0</v>
      </c>
      <c r="R116" s="244"/>
      <c r="S116" s="244"/>
      <c r="U116" s="244">
        <f>'Form 2B.1 - Design'!U112</f>
        <v>0</v>
      </c>
      <c r="V116" s="244"/>
      <c r="W116" s="244"/>
      <c r="Y116" s="232">
        <f>'Form 2B.1 - Design'!Y112</f>
        <v>0</v>
      </c>
      <c r="Z116" s="232"/>
      <c r="AA116" s="232"/>
      <c r="AB116" s="232"/>
      <c r="AD116" s="244">
        <f>'Form 2B.1 - Design'!AC112</f>
        <v>0</v>
      </c>
      <c r="AE116" s="244"/>
      <c r="AF116" s="244"/>
      <c r="AH116" s="244">
        <f>'Form 2B.1 - Design'!AG112</f>
        <v>0</v>
      </c>
      <c r="AI116" s="244"/>
      <c r="AJ116" s="244"/>
      <c r="AK116" s="244"/>
      <c r="AM116" s="91">
        <f t="shared" si="7"/>
        <v>0</v>
      </c>
      <c r="AN116" s="91">
        <f t="shared" si="8"/>
        <v>0</v>
      </c>
      <c r="AO116" s="91">
        <f t="shared" si="9"/>
        <v>0</v>
      </c>
    </row>
    <row r="117" spans="2:46" ht="15" customHeight="1" x14ac:dyDescent="0.3">
      <c r="C117" s="202">
        <f>Tables!$F$21</f>
        <v>16.3</v>
      </c>
      <c r="D117" s="202"/>
      <c r="G117" s="2" t="str">
        <f>Tables!$D$21</f>
        <v>(100-yr)</v>
      </c>
      <c r="I117" s="245">
        <f>'Form 2B.1 - Design'!I113</f>
        <v>0</v>
      </c>
      <c r="J117" s="245"/>
      <c r="K117" s="245"/>
      <c r="L117" s="6"/>
      <c r="M117" s="244">
        <f>'Form 2B.1 - Design'!M113</f>
        <v>0</v>
      </c>
      <c r="N117" s="244"/>
      <c r="O117" s="244"/>
      <c r="Q117" s="244">
        <f>'Form 2B.1 - Design'!Q113</f>
        <v>0</v>
      </c>
      <c r="R117" s="244"/>
      <c r="S117" s="244"/>
      <c r="U117" s="244">
        <f>'Form 2B.1 - Design'!U113</f>
        <v>0</v>
      </c>
      <c r="V117" s="244"/>
      <c r="W117" s="244"/>
      <c r="Y117" s="232">
        <f>'Form 2B.1 - Design'!Y113</f>
        <v>0</v>
      </c>
      <c r="Z117" s="232"/>
      <c r="AA117" s="232"/>
      <c r="AB117" s="232"/>
      <c r="AD117" s="244">
        <f>'Form 2B.1 - Design'!AC113</f>
        <v>0</v>
      </c>
      <c r="AE117" s="244"/>
      <c r="AF117" s="244"/>
      <c r="AH117" s="244">
        <f>'Form 2B.1 - Design'!AG113</f>
        <v>0</v>
      </c>
      <c r="AI117" s="244"/>
      <c r="AJ117" s="244"/>
      <c r="AK117" s="244"/>
      <c r="AM117" s="91">
        <f t="shared" si="7"/>
        <v>0</v>
      </c>
      <c r="AN117" s="91">
        <f t="shared" si="8"/>
        <v>0</v>
      </c>
      <c r="AO117" s="91">
        <f t="shared" si="9"/>
        <v>0</v>
      </c>
    </row>
    <row r="118" spans="2:46" ht="4.95" customHeight="1" x14ac:dyDescent="0.3">
      <c r="I118" s="2"/>
      <c r="J118" s="2"/>
      <c r="K118" s="2"/>
      <c r="M118" s="6"/>
      <c r="N118" s="6"/>
      <c r="O118" s="6"/>
      <c r="Q118" s="34"/>
      <c r="R118" s="34"/>
      <c r="S118" s="34"/>
      <c r="V118" s="34"/>
      <c r="W118" s="34"/>
      <c r="Z118" s="34"/>
      <c r="AA118" s="34"/>
      <c r="AE118" s="34"/>
      <c r="AF118" s="34"/>
      <c r="AI118" s="34"/>
      <c r="AJ118" s="34"/>
      <c r="AK118" s="34"/>
    </row>
    <row r="119" spans="2:46" ht="30" customHeight="1" x14ac:dyDescent="0.3">
      <c r="B119" s="1" t="s">
        <v>52</v>
      </c>
      <c r="I119" s="243" t="s">
        <v>120</v>
      </c>
      <c r="J119" s="243"/>
      <c r="K119" s="243"/>
      <c r="L119" s="132"/>
      <c r="M119" s="243" t="s">
        <v>121</v>
      </c>
      <c r="N119" s="243"/>
      <c r="O119" s="243"/>
      <c r="Q119" s="243" t="s">
        <v>122</v>
      </c>
      <c r="R119" s="243"/>
      <c r="S119" s="243"/>
      <c r="U119" s="243" t="s">
        <v>266</v>
      </c>
      <c r="V119" s="243"/>
      <c r="W119" s="243"/>
      <c r="Y119" s="243" t="s">
        <v>437</v>
      </c>
      <c r="Z119" s="243"/>
      <c r="AA119" s="243"/>
      <c r="AB119" s="243"/>
      <c r="AD119" s="243" t="s">
        <v>438</v>
      </c>
      <c r="AE119" s="243"/>
      <c r="AF119" s="243"/>
      <c r="AH119" s="243" t="s">
        <v>123</v>
      </c>
      <c r="AI119" s="243"/>
      <c r="AJ119" s="243"/>
      <c r="AK119" s="243"/>
      <c r="AM119" s="91">
        <f>SUM(AM120:AM125)</f>
        <v>6</v>
      </c>
      <c r="AN119" s="91">
        <f>SUM(AN120:AN125)</f>
        <v>6</v>
      </c>
      <c r="AO119" s="91">
        <f>SUM(AO120:AO123)</f>
        <v>4</v>
      </c>
      <c r="AP119" s="91">
        <f>SUM(AP120:AP125)</f>
        <v>6</v>
      </c>
      <c r="AQ119" s="91">
        <f>SUM(AQ120:AQ125)</f>
        <v>0</v>
      </c>
      <c r="AR119" s="91">
        <f>SUM(AR120:AR125)</f>
        <v>0</v>
      </c>
      <c r="AS119" s="91">
        <f>SUM(AS120:AS125)</f>
        <v>6</v>
      </c>
      <c r="AT119" s="91">
        <f>SUM(AT120:AT125)</f>
        <v>6</v>
      </c>
    </row>
    <row r="120" spans="2:46" ht="15" customHeight="1" x14ac:dyDescent="0.3">
      <c r="C120" s="202">
        <f>Tables!$F$16</f>
        <v>6.02</v>
      </c>
      <c r="D120" s="202"/>
      <c r="G120" s="2" t="str">
        <f>Tables!$D$16</f>
        <v>(2-yr)</v>
      </c>
      <c r="I120" s="191"/>
      <c r="J120" s="191"/>
      <c r="K120" s="191"/>
      <c r="L120" s="34"/>
      <c r="M120" s="191"/>
      <c r="N120" s="191"/>
      <c r="O120" s="191"/>
      <c r="Q120" s="191"/>
      <c r="R120" s="191"/>
      <c r="S120" s="191"/>
      <c r="U120" s="191"/>
      <c r="V120" s="191"/>
      <c r="W120" s="191"/>
      <c r="Y120" s="191"/>
      <c r="Z120" s="191"/>
      <c r="AA120" s="191"/>
      <c r="AB120" s="191"/>
      <c r="AD120" s="191"/>
      <c r="AE120" s="191"/>
      <c r="AF120" s="191"/>
      <c r="AH120" s="191"/>
      <c r="AI120" s="191"/>
      <c r="AJ120" s="191"/>
      <c r="AK120" s="191"/>
      <c r="AM120" s="91">
        <f t="shared" ref="AM120:AM125" si="10">IF(ISBLANK(I120),1,IF(I120=I112,0,1))</f>
        <v>1</v>
      </c>
      <c r="AN120" s="91">
        <f t="shared" ref="AN120:AN125" si="11">IF(ISBLANK(M120),1,IF(M120=M112,0,1))</f>
        <v>1</v>
      </c>
      <c r="AO120" s="91">
        <f>IF(OR(ISBLANK(U120),ISBLANK(Y$65)),1,IF(U120&gt;Y$65,1,0))</f>
        <v>1</v>
      </c>
      <c r="AP120" s="91">
        <f t="shared" ref="AP120:AP125" si="12">IF(ISBLANK(AD120),1,IF(AD120&gt;$AP$110,1,0))</f>
        <v>1</v>
      </c>
      <c r="AQ120" s="91">
        <f>IF(OR($AR$113=0,$AR$115=2),0,IF($AH120&gt;$AR$113,1,0))</f>
        <v>0</v>
      </c>
      <c r="AR120" s="91">
        <f>IF(OR($AR$114=0,$AR$115=2),0,IF($AH120&gt;$AR$114,1,0))</f>
        <v>0</v>
      </c>
      <c r="AS120" s="91">
        <f t="shared" ref="AS120:AS125" si="13">IF(OR(ISBLANK(AH120),ISBLANK(I120)),1,IF(AH120&gt;I120,1,0))</f>
        <v>1</v>
      </c>
      <c r="AT120" s="91">
        <f t="shared" ref="AT120:AT125" si="14">IF(ISBLANK(Y120),1,IF(Y120&gt;$AP$110,1,0))</f>
        <v>1</v>
      </c>
    </row>
    <row r="121" spans="2:46" ht="15" customHeight="1" x14ac:dyDescent="0.3">
      <c r="C121" s="202">
        <f>Tables!$F$17</f>
        <v>7.68</v>
      </c>
      <c r="D121" s="202"/>
      <c r="G121" s="2" t="str">
        <f>Tables!$D$17</f>
        <v>(5-yr)</v>
      </c>
      <c r="I121" s="186"/>
      <c r="J121" s="186"/>
      <c r="K121" s="186"/>
      <c r="L121" s="34"/>
      <c r="M121" s="186"/>
      <c r="N121" s="186"/>
      <c r="O121" s="186"/>
      <c r="Q121" s="186"/>
      <c r="R121" s="186"/>
      <c r="S121" s="186"/>
      <c r="U121" s="186"/>
      <c r="V121" s="186"/>
      <c r="W121" s="186"/>
      <c r="Y121" s="191"/>
      <c r="Z121" s="191"/>
      <c r="AA121" s="191"/>
      <c r="AB121" s="191"/>
      <c r="AD121" s="186"/>
      <c r="AE121" s="186"/>
      <c r="AF121" s="186"/>
      <c r="AH121" s="186"/>
      <c r="AI121" s="186"/>
      <c r="AJ121" s="186"/>
      <c r="AK121" s="186"/>
      <c r="AM121" s="91">
        <f t="shared" si="10"/>
        <v>1</v>
      </c>
      <c r="AN121" s="91">
        <f t="shared" si="11"/>
        <v>1</v>
      </c>
      <c r="AO121" s="91">
        <f>IF(OR(ISBLANK(U121),ISBLANK(Y$65)),1,IF(U121&gt;Y$65,1,0))</f>
        <v>1</v>
      </c>
      <c r="AP121" s="91">
        <f t="shared" si="12"/>
        <v>1</v>
      </c>
      <c r="AQ121" s="91">
        <f t="shared" ref="AQ121:AQ125" si="15">IF(OR($AR$113=0,$AR$115=2),0,IF($AH121&gt;$AR$113,1,0))</f>
        <v>0</v>
      </c>
      <c r="AR121" s="91">
        <f t="shared" ref="AR121:AR125" si="16">IF(OR($AR$114=0,$AR$115=2),0,IF($AH121&gt;$AR$114,1,0))</f>
        <v>0</v>
      </c>
      <c r="AS121" s="91">
        <f t="shared" si="13"/>
        <v>1</v>
      </c>
      <c r="AT121" s="91">
        <f t="shared" si="14"/>
        <v>1</v>
      </c>
    </row>
    <row r="122" spans="2:46" ht="15" customHeight="1" x14ac:dyDescent="0.3">
      <c r="C122" s="202">
        <f>Tables!$F$18</f>
        <v>9.26</v>
      </c>
      <c r="D122" s="202"/>
      <c r="G122" s="2" t="str">
        <f>Tables!$D$18</f>
        <v>(10-yr)</v>
      </c>
      <c r="I122" s="186"/>
      <c r="J122" s="186"/>
      <c r="K122" s="186"/>
      <c r="L122" s="34"/>
      <c r="M122" s="186"/>
      <c r="N122" s="186"/>
      <c r="O122" s="186"/>
      <c r="Q122" s="186"/>
      <c r="R122" s="186"/>
      <c r="S122" s="186"/>
      <c r="U122" s="186"/>
      <c r="V122" s="186"/>
      <c r="W122" s="186"/>
      <c r="Y122" s="191"/>
      <c r="Z122" s="191"/>
      <c r="AA122" s="191"/>
      <c r="AB122" s="191"/>
      <c r="AD122" s="186"/>
      <c r="AE122" s="186"/>
      <c r="AF122" s="186"/>
      <c r="AH122" s="186"/>
      <c r="AI122" s="186"/>
      <c r="AJ122" s="186"/>
      <c r="AK122" s="186"/>
      <c r="AM122" s="91">
        <f t="shared" si="10"/>
        <v>1</v>
      </c>
      <c r="AN122" s="91">
        <f t="shared" si="11"/>
        <v>1</v>
      </c>
      <c r="AO122" s="91">
        <f>IF(OR(ISBLANK(U122),ISBLANK(Y$65)),1,IF(U122&gt;Y$65,1,0))</f>
        <v>1</v>
      </c>
      <c r="AP122" s="91">
        <f t="shared" si="12"/>
        <v>1</v>
      </c>
      <c r="AQ122" s="91">
        <f t="shared" si="15"/>
        <v>0</v>
      </c>
      <c r="AR122" s="91">
        <f t="shared" si="16"/>
        <v>0</v>
      </c>
      <c r="AS122" s="91">
        <f t="shared" si="13"/>
        <v>1</v>
      </c>
      <c r="AT122" s="91">
        <f t="shared" si="14"/>
        <v>1</v>
      </c>
    </row>
    <row r="123" spans="2:46" ht="15" customHeight="1" x14ac:dyDescent="0.3">
      <c r="C123" s="202">
        <f>Tables!$F$19</f>
        <v>11.7</v>
      </c>
      <c r="D123" s="202"/>
      <c r="G123" s="2" t="str">
        <f>Tables!$D$19</f>
        <v>(25-yr)</v>
      </c>
      <c r="I123" s="186"/>
      <c r="J123" s="186"/>
      <c r="K123" s="186"/>
      <c r="L123" s="34"/>
      <c r="M123" s="186"/>
      <c r="N123" s="186"/>
      <c r="O123" s="186"/>
      <c r="Q123" s="186"/>
      <c r="R123" s="186"/>
      <c r="S123" s="186"/>
      <c r="U123" s="186"/>
      <c r="V123" s="186"/>
      <c r="W123" s="186"/>
      <c r="Y123" s="191"/>
      <c r="Z123" s="191"/>
      <c r="AA123" s="191"/>
      <c r="AB123" s="191"/>
      <c r="AD123" s="186"/>
      <c r="AE123" s="186"/>
      <c r="AF123" s="186"/>
      <c r="AH123" s="186"/>
      <c r="AI123" s="186"/>
      <c r="AJ123" s="186"/>
      <c r="AK123" s="186"/>
      <c r="AM123" s="91">
        <f t="shared" si="10"/>
        <v>1</v>
      </c>
      <c r="AN123" s="91">
        <f t="shared" si="11"/>
        <v>1</v>
      </c>
      <c r="AO123" s="91">
        <f>IF(OR(ISBLANK(U123),ISBLANK(Y$65)),1,IF(U123&gt;Y$65,1,0))</f>
        <v>1</v>
      </c>
      <c r="AP123" s="91">
        <f t="shared" si="12"/>
        <v>1</v>
      </c>
      <c r="AQ123" s="91">
        <f t="shared" si="15"/>
        <v>0</v>
      </c>
      <c r="AR123" s="91">
        <f t="shared" si="16"/>
        <v>0</v>
      </c>
      <c r="AS123" s="91">
        <f t="shared" si="13"/>
        <v>1</v>
      </c>
      <c r="AT123" s="91">
        <f t="shared" si="14"/>
        <v>1</v>
      </c>
    </row>
    <row r="124" spans="2:46" ht="15" customHeight="1" x14ac:dyDescent="0.3">
      <c r="C124" s="202">
        <f>Tables!$F$20</f>
        <v>13.9</v>
      </c>
      <c r="D124" s="202"/>
      <c r="G124" s="2" t="str">
        <f>Tables!$D$20</f>
        <v>(50-yr)</v>
      </c>
      <c r="I124" s="186"/>
      <c r="J124" s="186"/>
      <c r="K124" s="186"/>
      <c r="L124" s="34"/>
      <c r="M124" s="186"/>
      <c r="N124" s="186"/>
      <c r="O124" s="186"/>
      <c r="Q124" s="186"/>
      <c r="R124" s="186"/>
      <c r="S124" s="186"/>
      <c r="U124" s="186"/>
      <c r="V124" s="186"/>
      <c r="W124" s="186"/>
      <c r="Y124" s="191"/>
      <c r="Z124" s="191"/>
      <c r="AA124" s="191"/>
      <c r="AB124" s="191"/>
      <c r="AD124" s="186"/>
      <c r="AE124" s="186"/>
      <c r="AF124" s="186"/>
      <c r="AH124" s="186"/>
      <c r="AI124" s="186"/>
      <c r="AJ124" s="186"/>
      <c r="AK124" s="186"/>
      <c r="AM124" s="91">
        <f t="shared" si="10"/>
        <v>1</v>
      </c>
      <c r="AN124" s="91">
        <f t="shared" si="11"/>
        <v>1</v>
      </c>
      <c r="AO124" s="96">
        <f>IF(OR(ISBLANK(U124),ISBLANK(AH$65)),0,AH$65-U124)</f>
        <v>0</v>
      </c>
      <c r="AP124" s="91">
        <f t="shared" si="12"/>
        <v>1</v>
      </c>
      <c r="AQ124" s="91">
        <f t="shared" si="15"/>
        <v>0</v>
      </c>
      <c r="AR124" s="91">
        <f t="shared" si="16"/>
        <v>0</v>
      </c>
      <c r="AS124" s="91">
        <f t="shared" si="13"/>
        <v>1</v>
      </c>
      <c r="AT124" s="91">
        <f t="shared" si="14"/>
        <v>1</v>
      </c>
    </row>
    <row r="125" spans="2:46" ht="15" customHeight="1" x14ac:dyDescent="0.3">
      <c r="C125" s="202">
        <f>Tables!$F$21</f>
        <v>16.3</v>
      </c>
      <c r="D125" s="202"/>
      <c r="G125" s="2" t="str">
        <f>Tables!$D$21</f>
        <v>(100-yr)</v>
      </c>
      <c r="I125" s="186"/>
      <c r="J125" s="186"/>
      <c r="K125" s="186"/>
      <c r="L125" s="34"/>
      <c r="M125" s="186"/>
      <c r="N125" s="186"/>
      <c r="O125" s="186"/>
      <c r="Q125" s="186"/>
      <c r="R125" s="186"/>
      <c r="S125" s="186"/>
      <c r="U125" s="186"/>
      <c r="V125" s="186"/>
      <c r="W125" s="186"/>
      <c r="Y125" s="191"/>
      <c r="Z125" s="191"/>
      <c r="AA125" s="191"/>
      <c r="AB125" s="191"/>
      <c r="AD125" s="186"/>
      <c r="AE125" s="186"/>
      <c r="AF125" s="186"/>
      <c r="AH125" s="186"/>
      <c r="AI125" s="186"/>
      <c r="AJ125" s="186"/>
      <c r="AK125" s="186"/>
      <c r="AM125" s="91">
        <f t="shared" si="10"/>
        <v>1</v>
      </c>
      <c r="AN125" s="91">
        <f t="shared" si="11"/>
        <v>1</v>
      </c>
      <c r="AO125" s="96">
        <f>IF(OR(ISBLANK(U125),ISBLANK(AH$65)),0,AH$65-U125)</f>
        <v>0</v>
      </c>
      <c r="AP125" s="91">
        <f t="shared" si="12"/>
        <v>1</v>
      </c>
      <c r="AQ125" s="91">
        <f t="shared" si="15"/>
        <v>0</v>
      </c>
      <c r="AR125" s="91">
        <f t="shared" si="16"/>
        <v>0</v>
      </c>
      <c r="AS125" s="91">
        <f t="shared" si="13"/>
        <v>1</v>
      </c>
      <c r="AT125" s="91">
        <f t="shared" si="14"/>
        <v>1</v>
      </c>
    </row>
    <row r="126" spans="2:46" ht="4.95" customHeight="1" x14ac:dyDescent="0.3">
      <c r="AA126" s="34"/>
    </row>
    <row r="127" spans="2:46" ht="15" customHeight="1" x14ac:dyDescent="0.3">
      <c r="B127" s="5" t="s">
        <v>20</v>
      </c>
      <c r="C127" s="5"/>
      <c r="D127" s="5"/>
      <c r="E127" s="5"/>
      <c r="F127" s="5"/>
      <c r="G127" s="5"/>
      <c r="AM127" s="16" t="s">
        <v>145</v>
      </c>
      <c r="AN127" s="14" t="s">
        <v>146</v>
      </c>
      <c r="AO127" s="91">
        <f>IF(AND(ISBLANK(AH65),ISBLANK(U125)),1,2)</f>
        <v>1</v>
      </c>
      <c r="AP127" s="16" t="s">
        <v>245</v>
      </c>
      <c r="AQ127" s="16" t="s">
        <v>369</v>
      </c>
      <c r="AR127" s="16" t="s">
        <v>399</v>
      </c>
      <c r="AS127" s="16" t="s">
        <v>71</v>
      </c>
      <c r="AT127" s="16" t="s">
        <v>245</v>
      </c>
    </row>
    <row r="128" spans="2:46" ht="15" customHeight="1" x14ac:dyDescent="0.3">
      <c r="B128" s="193"/>
      <c r="C128" s="194"/>
      <c r="D128" s="194"/>
      <c r="E128" s="194"/>
      <c r="F128" s="194"/>
      <c r="G128" s="194"/>
      <c r="H128" s="194"/>
      <c r="I128" s="194"/>
      <c r="J128" s="194"/>
      <c r="K128" s="194"/>
      <c r="L128" s="194"/>
      <c r="M128" s="194"/>
      <c r="N128" s="194"/>
      <c r="O128" s="194"/>
      <c r="P128" s="194"/>
      <c r="Q128" s="194"/>
      <c r="R128" s="194"/>
      <c r="S128" s="194"/>
      <c r="T128" s="194"/>
      <c r="U128" s="194"/>
      <c r="V128" s="194"/>
      <c r="W128" s="194"/>
      <c r="X128" s="194"/>
      <c r="Y128" s="194"/>
      <c r="Z128" s="194"/>
      <c r="AA128" s="194"/>
      <c r="AB128" s="194"/>
      <c r="AC128" s="194"/>
      <c r="AD128" s="194"/>
      <c r="AE128" s="194"/>
      <c r="AF128" s="194"/>
      <c r="AG128" s="194"/>
      <c r="AH128" s="194"/>
      <c r="AI128" s="194"/>
      <c r="AJ128" s="194"/>
      <c r="AK128" s="195"/>
      <c r="AO128" s="16" t="s">
        <v>70</v>
      </c>
      <c r="AP128" s="16" t="s">
        <v>416</v>
      </c>
      <c r="AT128" s="16" t="s">
        <v>415</v>
      </c>
    </row>
    <row r="129" spans="2:40" ht="15" customHeight="1" x14ac:dyDescent="0.3">
      <c r="B129" s="196"/>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8"/>
    </row>
    <row r="130" spans="2:40" ht="15" customHeight="1" x14ac:dyDescent="0.3">
      <c r="B130" s="196"/>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8"/>
    </row>
    <row r="131" spans="2:40" ht="15" customHeight="1" x14ac:dyDescent="0.3">
      <c r="B131" s="196"/>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8"/>
    </row>
    <row r="132" spans="2:40" ht="15" customHeight="1" x14ac:dyDescent="0.3">
      <c r="B132" s="196"/>
      <c r="C132" s="197"/>
      <c r="D132" s="197"/>
      <c r="E132" s="197"/>
      <c r="F132" s="197"/>
      <c r="G132" s="197"/>
      <c r="H132" s="197"/>
      <c r="I132" s="197"/>
      <c r="J132" s="197"/>
      <c r="K132" s="197"/>
      <c r="L132" s="197"/>
      <c r="M132" s="197"/>
      <c r="N132" s="197"/>
      <c r="O132" s="197"/>
      <c r="P132" s="197"/>
      <c r="Q132" s="197"/>
      <c r="R132" s="197"/>
      <c r="S132" s="197"/>
      <c r="T132" s="197"/>
      <c r="U132" s="197"/>
      <c r="V132" s="197"/>
      <c r="W132" s="197"/>
      <c r="X132" s="197"/>
      <c r="Y132" s="197"/>
      <c r="Z132" s="197"/>
      <c r="AA132" s="197"/>
      <c r="AB132" s="197"/>
      <c r="AC132" s="197"/>
      <c r="AD132" s="197"/>
      <c r="AE132" s="197"/>
      <c r="AF132" s="197"/>
      <c r="AG132" s="197"/>
      <c r="AH132" s="197"/>
      <c r="AI132" s="197"/>
      <c r="AJ132" s="197"/>
      <c r="AK132" s="198"/>
    </row>
    <row r="133" spans="2:40" ht="15" customHeight="1" x14ac:dyDescent="0.3">
      <c r="B133" s="196"/>
      <c r="C133" s="197"/>
      <c r="D133" s="197"/>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c r="AI133" s="197"/>
      <c r="AJ133" s="197"/>
      <c r="AK133" s="198"/>
    </row>
    <row r="134" spans="2:40" ht="15" customHeight="1" x14ac:dyDescent="0.3">
      <c r="B134" s="196"/>
      <c r="C134" s="197"/>
      <c r="D134" s="197"/>
      <c r="E134" s="197"/>
      <c r="F134" s="197"/>
      <c r="G134" s="197"/>
      <c r="H134" s="197"/>
      <c r="I134" s="197"/>
      <c r="J134" s="197"/>
      <c r="K134" s="197"/>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8"/>
    </row>
    <row r="135" spans="2:40" ht="15" customHeight="1" x14ac:dyDescent="0.3">
      <c r="B135" s="199"/>
      <c r="C135" s="200"/>
      <c r="D135" s="200"/>
      <c r="E135" s="200"/>
      <c r="F135" s="200"/>
      <c r="G135" s="200"/>
      <c r="H135" s="200"/>
      <c r="I135" s="200"/>
      <c r="J135" s="200"/>
      <c r="K135" s="200"/>
      <c r="L135" s="200"/>
      <c r="M135" s="200"/>
      <c r="N135" s="200"/>
      <c r="O135" s="200"/>
      <c r="P135" s="200"/>
      <c r="Q135" s="200"/>
      <c r="R135" s="200"/>
      <c r="S135" s="200"/>
      <c r="T135" s="200"/>
      <c r="U135" s="200"/>
      <c r="V135" s="200"/>
      <c r="W135" s="200"/>
      <c r="X135" s="200"/>
      <c r="Y135" s="200"/>
      <c r="Z135" s="200"/>
      <c r="AA135" s="200"/>
      <c r="AB135" s="200"/>
      <c r="AC135" s="200"/>
      <c r="AD135" s="200"/>
      <c r="AE135" s="200"/>
      <c r="AF135" s="200"/>
      <c r="AG135" s="200"/>
      <c r="AH135" s="200"/>
      <c r="AI135" s="200"/>
      <c r="AJ135" s="200"/>
      <c r="AK135" s="201"/>
    </row>
    <row r="136" spans="2:40" ht="4.95" customHeight="1" x14ac:dyDescent="0.3">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row>
    <row r="137" spans="2:40" ht="15" customHeight="1" x14ac:dyDescent="0.3">
      <c r="B137" s="1" t="s">
        <v>127</v>
      </c>
      <c r="C137" s="1"/>
      <c r="D137" s="1"/>
      <c r="E137" s="1"/>
      <c r="F137" s="1"/>
      <c r="G137" s="1"/>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row>
    <row r="138" spans="2:40" ht="15" customHeight="1" x14ac:dyDescent="0.3">
      <c r="C138" s="2"/>
      <c r="E138" s="2" t="s">
        <v>197</v>
      </c>
      <c r="F138" s="204"/>
      <c r="G138" s="204"/>
      <c r="H138" s="204"/>
      <c r="I138" s="204"/>
      <c r="J138" s="204"/>
      <c r="K138" s="204"/>
      <c r="L138" s="204"/>
      <c r="M138" s="204"/>
      <c r="N138" s="204"/>
      <c r="O138" s="204"/>
      <c r="P138" s="204"/>
      <c r="Q138" s="204"/>
      <c r="R138" s="204"/>
      <c r="S138" s="204"/>
      <c r="T138" s="204"/>
      <c r="U138" s="204"/>
      <c r="V138" s="204"/>
    </row>
    <row r="139" spans="2:40" ht="15" customHeight="1" x14ac:dyDescent="0.3">
      <c r="C139" s="2"/>
      <c r="E139" s="2" t="s">
        <v>130</v>
      </c>
      <c r="F139" s="205"/>
      <c r="G139" s="205"/>
      <c r="H139" s="205"/>
      <c r="I139" s="205"/>
      <c r="J139" s="205"/>
      <c r="K139" s="205"/>
      <c r="L139" s="205"/>
      <c r="M139" s="205"/>
      <c r="N139" s="205"/>
      <c r="O139" s="205"/>
      <c r="P139" s="205"/>
      <c r="Q139" s="205"/>
      <c r="R139" s="205"/>
      <c r="S139" s="205"/>
      <c r="T139" s="205"/>
      <c r="U139" s="205"/>
      <c r="V139" s="205"/>
      <c r="W139" s="4"/>
      <c r="X139" s="4"/>
      <c r="Y139" s="4"/>
      <c r="Z139" s="4"/>
      <c r="AA139" s="4"/>
      <c r="AB139" s="4"/>
      <c r="AC139" s="4"/>
      <c r="AD139" s="4"/>
      <c r="AE139" s="4"/>
      <c r="AF139" s="4"/>
      <c r="AG139" s="4"/>
      <c r="AH139" s="4"/>
      <c r="AI139" s="4"/>
      <c r="AJ139" s="4"/>
      <c r="AK139" s="4"/>
    </row>
    <row r="140" spans="2:40" ht="15" customHeight="1" x14ac:dyDescent="0.3">
      <c r="C140" s="2"/>
      <c r="E140" s="2" t="s">
        <v>269</v>
      </c>
      <c r="F140" s="205"/>
      <c r="G140" s="205"/>
      <c r="H140" s="205"/>
      <c r="I140" s="205"/>
      <c r="J140" s="205"/>
      <c r="K140" s="205"/>
      <c r="L140" s="205"/>
      <c r="M140" s="205"/>
      <c r="N140" s="205"/>
      <c r="O140" s="205"/>
      <c r="P140" s="205"/>
      <c r="Q140" s="205"/>
      <c r="R140" s="205"/>
      <c r="S140" s="205"/>
      <c r="T140" s="205"/>
      <c r="U140" s="205"/>
      <c r="V140" s="205"/>
      <c r="X140" s="2"/>
      <c r="Y140" s="2" t="s">
        <v>133</v>
      </c>
      <c r="Z140" s="217"/>
      <c r="AA140" s="217"/>
      <c r="AB140" s="217"/>
      <c r="AC140" s="217"/>
      <c r="AF140" s="2"/>
      <c r="AG140" s="2" t="s">
        <v>134</v>
      </c>
      <c r="AH140" s="258"/>
      <c r="AI140" s="258"/>
      <c r="AJ140" s="258"/>
      <c r="AK140" s="258"/>
    </row>
    <row r="141" spans="2:40" ht="15" customHeight="1" x14ac:dyDescent="0.3">
      <c r="C141" s="2"/>
      <c r="E141" s="2" t="s">
        <v>292</v>
      </c>
      <c r="F141" s="205"/>
      <c r="G141" s="205"/>
      <c r="H141" s="205"/>
      <c r="I141" s="205"/>
      <c r="J141" s="205"/>
      <c r="K141" s="205"/>
      <c r="L141" s="205"/>
      <c r="M141" s="205"/>
      <c r="N141" s="205"/>
      <c r="O141" s="205"/>
      <c r="P141" s="205"/>
      <c r="Q141" s="205"/>
      <c r="R141" s="205"/>
      <c r="S141" s="205"/>
      <c r="T141" s="205"/>
      <c r="U141" s="205"/>
      <c r="V141" s="205"/>
      <c r="X141" s="2"/>
      <c r="Y141" s="2"/>
      <c r="Z141" s="2"/>
      <c r="AA141" s="2"/>
      <c r="AB141" s="2"/>
      <c r="AC141" s="2"/>
      <c r="AD141" s="2"/>
      <c r="AE141" s="2"/>
      <c r="AF141" s="2"/>
      <c r="AG141" s="2"/>
      <c r="AH141" s="2"/>
      <c r="AI141" s="2"/>
      <c r="AJ141" s="116"/>
      <c r="AK141" s="116"/>
    </row>
    <row r="142" spans="2:40" ht="15" customHeight="1" x14ac:dyDescent="0.3">
      <c r="C142" s="2"/>
      <c r="E142" s="2" t="s">
        <v>131</v>
      </c>
      <c r="F142" s="268"/>
      <c r="G142" s="268"/>
      <c r="H142" s="268"/>
      <c r="I142" s="268"/>
      <c r="J142" s="268"/>
      <c r="K142" s="268"/>
      <c r="L142" s="268"/>
      <c r="M142" s="268"/>
      <c r="N142" s="268"/>
      <c r="O142" s="268"/>
      <c r="P142" s="268"/>
      <c r="Q142" s="268"/>
      <c r="R142" s="268"/>
      <c r="S142" s="268"/>
      <c r="T142" s="268"/>
      <c r="U142" s="268"/>
      <c r="V142" s="268"/>
      <c r="X142" s="13"/>
      <c r="Y142" s="13"/>
      <c r="Z142" s="13"/>
      <c r="AA142" s="13"/>
      <c r="AB142" s="13"/>
      <c r="AC142" s="13"/>
      <c r="AD142" s="2" t="s">
        <v>135</v>
      </c>
      <c r="AE142" s="259"/>
      <c r="AF142" s="259"/>
      <c r="AG142" s="259"/>
      <c r="AH142" s="259"/>
      <c r="AI142" s="259"/>
      <c r="AJ142" s="4"/>
      <c r="AK142" s="4"/>
    </row>
    <row r="143" spans="2:40" ht="4.95" customHeight="1" x14ac:dyDescent="0.3">
      <c r="B143" s="2"/>
      <c r="C143" s="2"/>
      <c r="D143" s="2"/>
      <c r="E143" s="2"/>
      <c r="F143" s="2"/>
      <c r="G143" s="2"/>
      <c r="H143" s="37"/>
      <c r="I143" s="37"/>
      <c r="J143" s="37"/>
      <c r="K143" s="37"/>
      <c r="L143" s="37"/>
      <c r="M143" s="37"/>
      <c r="N143" s="37"/>
      <c r="O143" s="37"/>
      <c r="P143" s="37"/>
      <c r="Q143" s="37"/>
      <c r="R143" s="37"/>
      <c r="S143" s="37"/>
      <c r="T143" s="37"/>
      <c r="U143" s="37"/>
      <c r="V143" s="37"/>
      <c r="X143" s="4"/>
      <c r="Y143" s="4"/>
      <c r="Z143" s="4"/>
      <c r="AA143" s="4"/>
      <c r="AB143" s="4"/>
      <c r="AC143" s="4"/>
      <c r="AD143" s="2"/>
      <c r="AE143" s="4"/>
      <c r="AF143" s="4"/>
      <c r="AG143" s="4"/>
      <c r="AH143" s="4"/>
      <c r="AI143" s="4"/>
      <c r="AJ143" s="4"/>
      <c r="AK143" s="4"/>
    </row>
    <row r="144" spans="2:40" ht="15" customHeight="1" x14ac:dyDescent="0.3">
      <c r="B144" s="1" t="s">
        <v>262</v>
      </c>
      <c r="C144" s="1"/>
      <c r="D144" s="1"/>
      <c r="E144" s="1"/>
      <c r="F144" s="1"/>
      <c r="G144" s="1"/>
      <c r="H144" s="4"/>
      <c r="I144" s="4"/>
      <c r="J144" s="4"/>
      <c r="K144" s="4"/>
      <c r="L144" s="4"/>
      <c r="M144" s="4"/>
      <c r="N144" s="4"/>
      <c r="O144" s="4"/>
      <c r="P144" s="4"/>
      <c r="Q144" s="4"/>
      <c r="R144" s="4"/>
      <c r="S144" s="4"/>
      <c r="T144" s="4"/>
      <c r="U144" s="4"/>
      <c r="V144" s="4"/>
      <c r="X144" s="4"/>
      <c r="Y144" s="15"/>
      <c r="Z144" s="22" t="s">
        <v>128</v>
      </c>
      <c r="AA144" s="4"/>
      <c r="AB144" s="4"/>
      <c r="AC144" s="4"/>
      <c r="AH144" s="4"/>
      <c r="AI144" s="4"/>
      <c r="AJ144" s="4"/>
      <c r="AK144" s="4"/>
      <c r="AM144" s="91">
        <f>IF(AND(ISBLANK(F145),ISBLANK(F146),ISBLANK(F147),ISBLANK(F148),ISBLANK(F149),ISBLANK(Z147),ISBLANK(AH147),ISBLANK(AE148),ISBLANK(AE149)),1,2)</f>
        <v>1</v>
      </c>
      <c r="AN144" s="91">
        <f>IF(ISBLANK(Y144),1,2)</f>
        <v>1</v>
      </c>
    </row>
    <row r="145" spans="2:42" ht="15" customHeight="1" x14ac:dyDescent="0.3">
      <c r="C145" s="2"/>
      <c r="E145" s="2" t="s">
        <v>132</v>
      </c>
      <c r="F145" s="204"/>
      <c r="G145" s="204"/>
      <c r="H145" s="204"/>
      <c r="I145" s="204"/>
      <c r="J145" s="204"/>
      <c r="K145" s="204"/>
      <c r="L145" s="204"/>
      <c r="M145" s="204"/>
      <c r="N145" s="204"/>
      <c r="O145" s="204"/>
      <c r="P145" s="204"/>
      <c r="Q145" s="204"/>
      <c r="R145" s="204"/>
      <c r="S145" s="204"/>
      <c r="T145" s="204"/>
      <c r="U145" s="204"/>
      <c r="V145" s="204"/>
    </row>
    <row r="146" spans="2:42" ht="15" customHeight="1" x14ac:dyDescent="0.3">
      <c r="C146" s="2"/>
      <c r="E146" s="2" t="s">
        <v>130</v>
      </c>
      <c r="F146" s="205"/>
      <c r="G146" s="205"/>
      <c r="H146" s="205"/>
      <c r="I146" s="205"/>
      <c r="J146" s="205"/>
      <c r="K146" s="205"/>
      <c r="L146" s="205"/>
      <c r="M146" s="205"/>
      <c r="N146" s="205"/>
      <c r="O146" s="205"/>
      <c r="P146" s="205"/>
      <c r="Q146" s="205"/>
      <c r="R146" s="205"/>
      <c r="S146" s="205"/>
      <c r="T146" s="205"/>
      <c r="U146" s="205"/>
      <c r="V146" s="205"/>
      <c r="AE146" s="4"/>
      <c r="AF146" s="4"/>
      <c r="AG146" s="4"/>
      <c r="AH146" s="4"/>
      <c r="AI146" s="4"/>
      <c r="AJ146" s="4"/>
      <c r="AK146" s="4"/>
    </row>
    <row r="147" spans="2:42" ht="15" customHeight="1" x14ac:dyDescent="0.3">
      <c r="C147" s="2"/>
      <c r="E147" s="2" t="s">
        <v>269</v>
      </c>
      <c r="F147" s="205"/>
      <c r="G147" s="205"/>
      <c r="H147" s="205"/>
      <c r="I147" s="205"/>
      <c r="J147" s="205"/>
      <c r="K147" s="205"/>
      <c r="L147" s="205"/>
      <c r="M147" s="205"/>
      <c r="N147" s="205"/>
      <c r="O147" s="205"/>
      <c r="P147" s="205"/>
      <c r="Q147" s="205"/>
      <c r="R147" s="205"/>
      <c r="S147" s="205"/>
      <c r="T147" s="205"/>
      <c r="U147" s="205"/>
      <c r="V147" s="205"/>
      <c r="X147" s="2"/>
      <c r="Y147" s="2" t="s">
        <v>133</v>
      </c>
      <c r="Z147" s="217"/>
      <c r="AA147" s="217"/>
      <c r="AB147" s="217"/>
      <c r="AC147" s="217"/>
      <c r="AF147" s="2"/>
      <c r="AG147" s="2" t="s">
        <v>134</v>
      </c>
      <c r="AH147" s="257"/>
      <c r="AI147" s="257"/>
      <c r="AJ147" s="257"/>
      <c r="AK147" s="257"/>
    </row>
    <row r="148" spans="2:42" ht="15" customHeight="1" x14ac:dyDescent="0.3">
      <c r="C148" s="2"/>
      <c r="E148" s="2" t="s">
        <v>292</v>
      </c>
      <c r="F148" s="204"/>
      <c r="G148" s="204"/>
      <c r="H148" s="204"/>
      <c r="I148" s="204"/>
      <c r="J148" s="204"/>
      <c r="K148" s="204"/>
      <c r="L148" s="204"/>
      <c r="M148" s="204"/>
      <c r="N148" s="204"/>
      <c r="O148" s="204"/>
      <c r="P148" s="204"/>
      <c r="Q148" s="204"/>
      <c r="R148" s="204"/>
      <c r="S148" s="204"/>
      <c r="T148" s="204"/>
      <c r="U148" s="204"/>
      <c r="V148" s="204"/>
      <c r="W148" s="4"/>
      <c r="X148" s="4"/>
      <c r="Y148" s="4"/>
      <c r="Z148" s="4"/>
      <c r="AA148" s="4"/>
      <c r="AB148" s="4"/>
      <c r="AC148" s="4"/>
      <c r="AD148" s="2" t="s">
        <v>136</v>
      </c>
      <c r="AE148" s="204"/>
      <c r="AF148" s="204"/>
      <c r="AG148" s="204"/>
      <c r="AH148" s="204"/>
      <c r="AI148" s="204"/>
      <c r="AJ148" s="204"/>
      <c r="AK148" s="204"/>
    </row>
    <row r="149" spans="2:42" ht="15" customHeight="1" x14ac:dyDescent="0.3">
      <c r="C149" s="2"/>
      <c r="E149" s="2" t="s">
        <v>131</v>
      </c>
      <c r="F149" s="268"/>
      <c r="G149" s="268"/>
      <c r="H149" s="268"/>
      <c r="I149" s="268"/>
      <c r="J149" s="268"/>
      <c r="K149" s="268"/>
      <c r="L149" s="268"/>
      <c r="M149" s="268"/>
      <c r="N149" s="268"/>
      <c r="O149" s="268"/>
      <c r="P149" s="268"/>
      <c r="Q149" s="268"/>
      <c r="R149" s="268"/>
      <c r="S149" s="268"/>
      <c r="T149" s="268"/>
      <c r="U149" s="268"/>
      <c r="V149" s="268"/>
      <c r="AD149" s="2" t="s">
        <v>135</v>
      </c>
      <c r="AE149" s="242"/>
      <c r="AF149" s="242"/>
      <c r="AG149" s="242"/>
      <c r="AH149" s="242"/>
      <c r="AI149" s="242"/>
    </row>
    <row r="150" spans="2:42" ht="15" customHeight="1" x14ac:dyDescent="0.3">
      <c r="AK150" s="26"/>
    </row>
    <row r="151" spans="2:42" ht="15" customHeight="1" x14ac:dyDescent="0.3">
      <c r="AK151" s="26"/>
    </row>
    <row r="152" spans="2:42" ht="15" customHeight="1" x14ac:dyDescent="0.3">
      <c r="B152" s="203">
        <f>Tables!$F$13</f>
        <v>45931</v>
      </c>
      <c r="C152" s="203"/>
      <c r="D152" s="203"/>
      <c r="E152" s="203"/>
      <c r="F152" s="203"/>
      <c r="G152" s="203"/>
      <c r="H152" s="203"/>
      <c r="R152" s="189" t="s">
        <v>449</v>
      </c>
      <c r="S152" s="189"/>
      <c r="T152" s="189"/>
      <c r="U152" s="189"/>
      <c r="AK152" s="26"/>
    </row>
    <row r="153" spans="2:42" ht="15" customHeight="1" x14ac:dyDescent="0.3">
      <c r="C153" s="2" t="s">
        <v>1</v>
      </c>
      <c r="D153" s="210">
        <f>IF(ISBLANK($E$7),"",$E$7)</f>
        <v>0</v>
      </c>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34"/>
      <c r="AB153" s="34"/>
      <c r="AC153" s="34"/>
      <c r="AF153" s="2" t="s">
        <v>19</v>
      </c>
      <c r="AG153" s="187">
        <f>$AF$7</f>
        <v>0</v>
      </c>
      <c r="AH153" s="187"/>
      <c r="AI153" s="187"/>
      <c r="AJ153" s="187"/>
      <c r="AK153" s="187"/>
    </row>
    <row r="154" spans="2:42" ht="15" customHeight="1" x14ac:dyDescent="0.3">
      <c r="H154" s="35"/>
      <c r="I154" s="35"/>
      <c r="J154" s="2"/>
      <c r="K154" s="2"/>
      <c r="L154" s="2"/>
      <c r="M154" s="35"/>
      <c r="N154" s="34"/>
      <c r="O154" s="34"/>
      <c r="P154" s="34"/>
      <c r="Q154" s="34"/>
      <c r="R154" s="34"/>
      <c r="S154" s="34"/>
      <c r="T154" s="34"/>
      <c r="U154" s="34"/>
      <c r="V154" s="34"/>
      <c r="W154" s="34"/>
      <c r="X154" s="34"/>
      <c r="Y154" s="34"/>
      <c r="Z154" s="34"/>
      <c r="AA154" s="34"/>
      <c r="AB154" s="34"/>
      <c r="AC154" s="34"/>
      <c r="AF154" s="2" t="s">
        <v>32</v>
      </c>
      <c r="AG154" s="254">
        <f>IF(ISBLANK($AF$8),"",$AF$8)</f>
        <v>0</v>
      </c>
      <c r="AH154" s="254"/>
      <c r="AI154" s="254"/>
      <c r="AJ154" s="254"/>
      <c r="AK154" s="254"/>
    </row>
    <row r="155" spans="2:42" ht="15" customHeight="1" x14ac:dyDescent="0.3">
      <c r="AK155" s="26"/>
    </row>
    <row r="156" spans="2:42" ht="15" customHeight="1" x14ac:dyDescent="0.3">
      <c r="B156" s="1" t="s">
        <v>93</v>
      </c>
      <c r="F156" s="35"/>
      <c r="G156" s="35"/>
      <c r="H156" s="35"/>
      <c r="I156" s="35"/>
      <c r="J156" s="35"/>
      <c r="K156" s="2"/>
      <c r="L156" s="2"/>
      <c r="M156" s="2"/>
      <c r="N156" s="2"/>
      <c r="O156" s="35"/>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M156" s="14"/>
    </row>
    <row r="157" spans="2:42" ht="15" customHeight="1" x14ac:dyDescent="0.3">
      <c r="D157" s="22" t="s">
        <v>176</v>
      </c>
      <c r="F157" s="22" t="s">
        <v>138</v>
      </c>
      <c r="X157" s="189" t="s">
        <v>289</v>
      </c>
      <c r="Y157" s="189"/>
      <c r="Z157" s="189"/>
      <c r="AA157" s="189"/>
      <c r="AC157" s="189" t="s">
        <v>290</v>
      </c>
      <c r="AD157" s="189"/>
      <c r="AE157" s="189"/>
      <c r="AF157" s="189"/>
      <c r="AG157" s="189"/>
      <c r="AH157" s="189"/>
      <c r="AI157" s="189"/>
      <c r="AM157" s="91">
        <f>SUM(AM161,AM163,AM165,AM167,AM169,AM171)</f>
        <v>6</v>
      </c>
      <c r="AN157" s="16"/>
      <c r="AP157" s="91">
        <f>SUM(AP161,AP163,AP165,AP167,AP169,AP171)</f>
        <v>0</v>
      </c>
    </row>
    <row r="158" spans="2:42" ht="4.95" customHeight="1" x14ac:dyDescent="0.3">
      <c r="AN158" s="16"/>
    </row>
    <row r="159" spans="2:42" ht="15" customHeight="1" x14ac:dyDescent="0.3">
      <c r="D159" s="51"/>
      <c r="F159" s="51"/>
      <c r="H159" s="22" t="s">
        <v>381</v>
      </c>
      <c r="AM159" s="91">
        <f>IF(AND(ISBLANK(D159),ISBLANK(F159)),1,2)</f>
        <v>1</v>
      </c>
      <c r="AN159" s="91">
        <f>IF(ISBLANK(F159),1,2)</f>
        <v>1</v>
      </c>
      <c r="AO159" s="91">
        <f>IF(ISBLANK(D159),1,2)</f>
        <v>1</v>
      </c>
      <c r="AP159" s="91">
        <f>IF(ISBLANK(F159),0,1)</f>
        <v>0</v>
      </c>
    </row>
    <row r="160" spans="2:42" ht="4.95" customHeight="1" x14ac:dyDescent="0.3">
      <c r="AN160" s="16"/>
    </row>
    <row r="161" spans="2:49" ht="15" customHeight="1" x14ac:dyDescent="0.3">
      <c r="D161" s="51"/>
      <c r="F161" s="51"/>
      <c r="H161" s="22" t="s">
        <v>323</v>
      </c>
      <c r="Y161" s="217"/>
      <c r="Z161" s="217"/>
      <c r="AC161" s="253"/>
      <c r="AD161" s="253"/>
      <c r="AE161" s="253"/>
      <c r="AF161" s="253"/>
      <c r="AG161" s="253"/>
      <c r="AH161" s="253"/>
      <c r="AI161" s="253"/>
      <c r="AM161" s="91">
        <f>IF(AND(ISBLANK(D161),ISBLANK(F161)),1,2)</f>
        <v>1</v>
      </c>
      <c r="AN161" s="91">
        <f>IF(ISBLANK(F161),1,2)</f>
        <v>1</v>
      </c>
      <c r="AO161" s="91">
        <f>IF(ISBLANK(D161),1,2)</f>
        <v>1</v>
      </c>
      <c r="AP161" s="91">
        <f>IF(ISBLANK(F161),0,1)</f>
        <v>0</v>
      </c>
    </row>
    <row r="162" spans="2:49" ht="4.95" customHeight="1" x14ac:dyDescent="0.3">
      <c r="AN162" s="16"/>
    </row>
    <row r="163" spans="2:49" ht="15" customHeight="1" x14ac:dyDescent="0.3">
      <c r="D163" s="51"/>
      <c r="F163" s="51"/>
      <c r="H163" s="22" t="s">
        <v>486</v>
      </c>
      <c r="Y163" s="217"/>
      <c r="Z163" s="217"/>
      <c r="AC163" s="253"/>
      <c r="AD163" s="253"/>
      <c r="AE163" s="253"/>
      <c r="AF163" s="253"/>
      <c r="AG163" s="253"/>
      <c r="AH163" s="253"/>
      <c r="AI163" s="253"/>
      <c r="AM163" s="91">
        <f>IF(AND(ISBLANK(D163),ISBLANK(F163)),1,2)</f>
        <v>1</v>
      </c>
      <c r="AN163" s="91">
        <f>IF(ISBLANK(F163),1,2)</f>
        <v>1</v>
      </c>
      <c r="AO163" s="91">
        <f>IF(ISBLANK(D163),1,2)</f>
        <v>1</v>
      </c>
      <c r="AP163" s="91">
        <f>IF(ISBLANK(F163),0,1)</f>
        <v>0</v>
      </c>
    </row>
    <row r="164" spans="2:49" ht="4.95" customHeight="1" x14ac:dyDescent="0.3">
      <c r="AN164" s="16"/>
    </row>
    <row r="165" spans="2:49" ht="15" customHeight="1" x14ac:dyDescent="0.3">
      <c r="D165" s="51"/>
      <c r="F165" s="51"/>
      <c r="H165" s="22" t="s">
        <v>485</v>
      </c>
      <c r="Y165" s="217"/>
      <c r="Z165" s="217"/>
      <c r="AC165" s="253"/>
      <c r="AD165" s="253"/>
      <c r="AE165" s="253"/>
      <c r="AF165" s="253"/>
      <c r="AG165" s="253"/>
      <c r="AH165" s="253"/>
      <c r="AI165" s="253"/>
      <c r="AM165" s="91">
        <f>IF(AND(ISBLANK(D165),ISBLANK(F165)),1,2)</f>
        <v>1</v>
      </c>
      <c r="AN165" s="91">
        <f>IF(ISBLANK(F165),1,2)</f>
        <v>1</v>
      </c>
      <c r="AO165" s="91">
        <f>IF(ISBLANK(D165),1,2)</f>
        <v>1</v>
      </c>
      <c r="AP165" s="91">
        <f>IF(ISBLANK(F165),0,1)</f>
        <v>0</v>
      </c>
    </row>
    <row r="166" spans="2:49" ht="4.95" customHeight="1" x14ac:dyDescent="0.3">
      <c r="AN166" s="16"/>
    </row>
    <row r="167" spans="2:49" ht="15" customHeight="1" x14ac:dyDescent="0.3">
      <c r="D167" s="51"/>
      <c r="F167" s="51"/>
      <c r="H167" s="22" t="s">
        <v>324</v>
      </c>
      <c r="Y167" s="217"/>
      <c r="Z167" s="217"/>
      <c r="AC167" s="253"/>
      <c r="AD167" s="253"/>
      <c r="AE167" s="253"/>
      <c r="AF167" s="253"/>
      <c r="AG167" s="253"/>
      <c r="AH167" s="253"/>
      <c r="AI167" s="253"/>
      <c r="AM167" s="91">
        <f>IF(AND(ISBLANK(D167),ISBLANK(F167)),1,2)</f>
        <v>1</v>
      </c>
      <c r="AN167" s="91">
        <f>IF(ISBLANK(F167),1,2)</f>
        <v>1</v>
      </c>
      <c r="AO167" s="91">
        <f>IF(ISBLANK(D167),1,2)</f>
        <v>1</v>
      </c>
      <c r="AP167" s="91">
        <f>IF(ISBLANK(F167),0,1)</f>
        <v>0</v>
      </c>
    </row>
    <row r="168" spans="2:49" ht="4.95" customHeight="1" x14ac:dyDescent="0.3">
      <c r="C168" s="35"/>
      <c r="D168" s="35"/>
      <c r="E168" s="35"/>
      <c r="F168" s="2"/>
      <c r="G168" s="2"/>
      <c r="J168" s="35"/>
      <c r="K168" s="34"/>
      <c r="L168" s="34"/>
      <c r="M168" s="34"/>
      <c r="N168" s="34"/>
      <c r="O168" s="34"/>
      <c r="X168" s="34"/>
      <c r="Y168" s="34"/>
      <c r="Z168" s="34"/>
      <c r="AA168" s="34"/>
      <c r="AB168" s="34"/>
      <c r="AC168" s="34"/>
      <c r="AD168" s="34"/>
      <c r="AE168" s="34"/>
      <c r="AF168" s="34"/>
      <c r="AG168" s="34"/>
      <c r="AH168" s="34"/>
      <c r="AI168" s="34"/>
      <c r="AJ168" s="34"/>
      <c r="AK168" s="34"/>
      <c r="AM168" s="14"/>
    </row>
    <row r="169" spans="2:49" ht="15" customHeight="1" x14ac:dyDescent="0.3">
      <c r="C169" s="35"/>
      <c r="D169" s="51"/>
      <c r="F169" s="51"/>
      <c r="H169" s="22" t="s">
        <v>382</v>
      </c>
      <c r="Y169" s="217"/>
      <c r="Z169" s="217"/>
      <c r="AC169" s="253"/>
      <c r="AD169" s="253"/>
      <c r="AE169" s="253"/>
      <c r="AF169" s="253"/>
      <c r="AG169" s="253"/>
      <c r="AH169" s="253"/>
      <c r="AI169" s="253"/>
      <c r="AM169" s="91">
        <f>IF(AND(ISBLANK(D169),ISBLANK(F169)),1,2)</f>
        <v>1</v>
      </c>
      <c r="AN169" s="91">
        <f>IF(ISBLANK(F169),1,2)</f>
        <v>1</v>
      </c>
      <c r="AO169" s="91">
        <f>IF(ISBLANK(D169),1,2)</f>
        <v>1</v>
      </c>
      <c r="AP169" s="91">
        <f>IF(ISBLANK(F169),0,1)</f>
        <v>0</v>
      </c>
    </row>
    <row r="170" spans="2:49" ht="4.95" customHeight="1" x14ac:dyDescent="0.3">
      <c r="H170" s="35"/>
      <c r="I170" s="35"/>
      <c r="J170" s="2"/>
      <c r="K170" s="2"/>
      <c r="L170" s="2"/>
      <c r="M170" s="35"/>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spans="2:49" ht="15" customHeight="1" x14ac:dyDescent="0.3">
      <c r="D171" s="51"/>
      <c r="F171" s="51"/>
      <c r="H171" s="22" t="s">
        <v>325</v>
      </c>
      <c r="Y171" s="217"/>
      <c r="Z171" s="217"/>
      <c r="AC171" s="253"/>
      <c r="AD171" s="253"/>
      <c r="AE171" s="253"/>
      <c r="AF171" s="253"/>
      <c r="AG171" s="253"/>
      <c r="AH171" s="253"/>
      <c r="AI171" s="253"/>
      <c r="AM171" s="91">
        <f>IF(AND(ISBLANK(D171),ISBLANK(F171)),1,2)</f>
        <v>1</v>
      </c>
      <c r="AN171" s="91">
        <f>IF(ISBLANK(F171),1,2)</f>
        <v>1</v>
      </c>
      <c r="AO171" s="91">
        <f>IF(ISBLANK(D171),1,2)</f>
        <v>1</v>
      </c>
      <c r="AP171" s="91">
        <f>IF(ISBLANK(F171),0,1)</f>
        <v>0</v>
      </c>
    </row>
    <row r="172" spans="2:49" ht="15" customHeight="1" x14ac:dyDescent="0.3">
      <c r="AK172" s="26"/>
    </row>
    <row r="173" spans="2:49" ht="15" customHeight="1" x14ac:dyDescent="0.3">
      <c r="B173" s="1" t="s">
        <v>17</v>
      </c>
      <c r="C173" s="1"/>
      <c r="D173" s="1"/>
      <c r="E173" s="1"/>
      <c r="F173" s="1"/>
      <c r="G173" s="1"/>
      <c r="H173" s="1"/>
      <c r="I173" s="1"/>
    </row>
    <row r="174" spans="2:49" ht="15" customHeight="1" x14ac:dyDescent="0.3">
      <c r="B174" s="256" t="s">
        <v>246</v>
      </c>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c r="AA174" s="256"/>
      <c r="AB174" s="256"/>
      <c r="AC174" s="256"/>
      <c r="AD174" s="256"/>
      <c r="AE174" s="256"/>
      <c r="AF174" s="256"/>
      <c r="AG174" s="256"/>
      <c r="AH174" s="256"/>
      <c r="AI174" s="256"/>
      <c r="AJ174" s="256"/>
      <c r="AK174" s="256"/>
      <c r="AL174" s="256"/>
      <c r="AV174" s="59"/>
      <c r="AW174" s="59"/>
    </row>
    <row r="175" spans="2:49" ht="15" customHeight="1" x14ac:dyDescent="0.3">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c r="AC175" s="256"/>
      <c r="AD175" s="256"/>
      <c r="AE175" s="256"/>
      <c r="AF175" s="256"/>
      <c r="AG175" s="256"/>
      <c r="AH175" s="256"/>
      <c r="AI175" s="256"/>
      <c r="AJ175" s="256"/>
      <c r="AK175" s="256"/>
      <c r="AL175" s="256"/>
    </row>
    <row r="176" spans="2:49" ht="15" customHeight="1" x14ac:dyDescent="0.3">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c r="AA176" s="256"/>
      <c r="AB176" s="256"/>
      <c r="AC176" s="256"/>
      <c r="AD176" s="256"/>
      <c r="AE176" s="256"/>
      <c r="AF176" s="256"/>
      <c r="AG176" s="256"/>
      <c r="AH176" s="256"/>
      <c r="AI176" s="256"/>
      <c r="AJ176" s="256"/>
      <c r="AK176" s="256"/>
      <c r="AL176" s="256"/>
    </row>
    <row r="177" spans="2:39" ht="15" customHeight="1" x14ac:dyDescent="0.3">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c r="AC177" s="256"/>
      <c r="AD177" s="256"/>
      <c r="AE177" s="256"/>
      <c r="AF177" s="256"/>
      <c r="AG177" s="256"/>
      <c r="AH177" s="256"/>
      <c r="AI177" s="256"/>
      <c r="AJ177" s="256"/>
      <c r="AK177" s="256"/>
      <c r="AL177" s="256"/>
    </row>
    <row r="178" spans="2:39" ht="15" customHeight="1" x14ac:dyDescent="0.3">
      <c r="D178" s="2" t="s">
        <v>197</v>
      </c>
      <c r="E178" s="204"/>
      <c r="F178" s="204"/>
      <c r="G178" s="204"/>
      <c r="H178" s="204"/>
      <c r="I178" s="204"/>
      <c r="J178" s="204"/>
      <c r="K178" s="204"/>
      <c r="L178" s="204"/>
      <c r="M178" s="204"/>
      <c r="N178" s="204"/>
      <c r="O178" s="204"/>
      <c r="P178" s="204"/>
      <c r="Q178" s="204"/>
      <c r="R178" s="204"/>
      <c r="S178" s="204"/>
      <c r="T178" s="204"/>
      <c r="U178" s="204"/>
      <c r="V178" s="204"/>
      <c r="W178" s="204"/>
      <c r="X178" s="204"/>
      <c r="Y178" s="204"/>
      <c r="AB178" s="2" t="s">
        <v>316</v>
      </c>
      <c r="AC178" s="2"/>
      <c r="AD178" s="2"/>
      <c r="AE178" s="2"/>
    </row>
    <row r="179" spans="2:39" ht="15" customHeight="1" x14ac:dyDescent="0.3">
      <c r="D179" s="2" t="s">
        <v>129</v>
      </c>
      <c r="E179" s="205"/>
      <c r="F179" s="205"/>
      <c r="G179" s="205"/>
      <c r="H179" s="205"/>
      <c r="I179" s="205"/>
      <c r="J179" s="205"/>
      <c r="K179" s="205"/>
      <c r="L179" s="205"/>
      <c r="M179" s="205"/>
      <c r="N179" s="205"/>
      <c r="O179" s="205"/>
      <c r="P179" s="205"/>
      <c r="Q179" s="205"/>
      <c r="R179" s="205"/>
      <c r="S179" s="205"/>
      <c r="T179" s="205"/>
      <c r="U179" s="205"/>
      <c r="V179" s="205"/>
      <c r="W179" s="205"/>
      <c r="X179" s="205"/>
      <c r="Y179" s="205"/>
    </row>
    <row r="180" spans="2:39" ht="15" customHeight="1" x14ac:dyDescent="0.3">
      <c r="D180" s="2" t="s">
        <v>130</v>
      </c>
      <c r="E180" s="205"/>
      <c r="F180" s="205"/>
      <c r="G180" s="205"/>
      <c r="H180" s="205"/>
      <c r="I180" s="205"/>
      <c r="J180" s="205"/>
      <c r="K180" s="205"/>
      <c r="L180" s="205"/>
      <c r="M180" s="205"/>
      <c r="N180" s="205"/>
      <c r="O180" s="205"/>
      <c r="P180" s="205"/>
      <c r="Q180" s="205"/>
      <c r="R180" s="205"/>
      <c r="S180" s="205"/>
      <c r="T180" s="205"/>
      <c r="U180" s="205"/>
      <c r="V180" s="205"/>
      <c r="W180" s="205"/>
      <c r="X180" s="205"/>
      <c r="Y180" s="205"/>
    </row>
    <row r="181" spans="2:39" ht="15" customHeight="1" x14ac:dyDescent="0.3">
      <c r="D181" s="2" t="s">
        <v>269</v>
      </c>
      <c r="E181" s="205"/>
      <c r="F181" s="205"/>
      <c r="G181" s="205"/>
      <c r="H181" s="205"/>
      <c r="I181" s="205"/>
      <c r="J181" s="205"/>
      <c r="K181" s="205"/>
      <c r="L181" s="57"/>
      <c r="M181" s="57"/>
      <c r="N181" s="104" t="s">
        <v>133</v>
      </c>
      <c r="O181" s="205"/>
      <c r="P181" s="205"/>
      <c r="Q181" s="205"/>
      <c r="R181" s="205"/>
      <c r="S181" s="57"/>
      <c r="T181" s="57"/>
      <c r="U181" s="57"/>
      <c r="V181" s="104" t="s">
        <v>134</v>
      </c>
      <c r="W181" s="206"/>
      <c r="X181" s="206"/>
      <c r="Y181" s="206"/>
    </row>
    <row r="182" spans="2:39" ht="15" customHeight="1" x14ac:dyDescent="0.3">
      <c r="D182" s="2" t="s">
        <v>131</v>
      </c>
      <c r="E182" s="207"/>
      <c r="F182" s="207"/>
      <c r="G182" s="207"/>
      <c r="H182" s="207"/>
      <c r="I182" s="207"/>
      <c r="J182" s="207"/>
      <c r="K182" s="207"/>
      <c r="L182" s="207"/>
      <c r="M182" s="207"/>
      <c r="N182" s="207"/>
      <c r="O182" s="207"/>
      <c r="P182" s="207"/>
      <c r="Q182" s="207"/>
      <c r="R182" s="207"/>
      <c r="S182" s="207"/>
      <c r="T182" s="207"/>
      <c r="U182" s="207"/>
      <c r="V182" s="207"/>
      <c r="W182" s="207"/>
      <c r="X182" s="207"/>
      <c r="Y182" s="207"/>
    </row>
    <row r="183" spans="2:39" ht="15" customHeight="1" x14ac:dyDescent="0.3">
      <c r="D183" s="2" t="s">
        <v>135</v>
      </c>
      <c r="E183" s="208"/>
      <c r="F183" s="208"/>
      <c r="G183" s="208"/>
      <c r="H183" s="208"/>
      <c r="I183" s="208"/>
      <c r="U183" s="49"/>
      <c r="V183" s="49"/>
      <c r="W183" s="49"/>
    </row>
    <row r="184" spans="2:39" ht="10.050000000000001" customHeight="1" x14ac:dyDescent="0.3">
      <c r="D184" s="2"/>
      <c r="E184" s="57"/>
      <c r="F184" s="57"/>
      <c r="G184" s="57"/>
      <c r="H184" s="57"/>
      <c r="I184" s="57"/>
      <c r="U184" s="49"/>
      <c r="V184" s="49"/>
      <c r="W184" s="49"/>
    </row>
    <row r="185" spans="2:39" ht="15" customHeight="1" x14ac:dyDescent="0.3">
      <c r="D185" s="2" t="s">
        <v>198</v>
      </c>
      <c r="E185" s="81"/>
      <c r="F185" s="81"/>
      <c r="G185" s="81"/>
      <c r="H185" s="81"/>
      <c r="I185" s="81"/>
      <c r="J185" s="81"/>
      <c r="K185" s="81"/>
      <c r="L185" s="81"/>
      <c r="M185" s="81"/>
      <c r="N185" s="81"/>
      <c r="O185" s="81"/>
      <c r="P185" s="81"/>
      <c r="Q185" s="81"/>
      <c r="R185" s="81"/>
      <c r="S185" s="81"/>
      <c r="T185" s="81"/>
      <c r="U185" s="49"/>
      <c r="V185" s="49"/>
      <c r="W185" s="49"/>
      <c r="AB185" s="2" t="s">
        <v>193</v>
      </c>
      <c r="AC185" s="192"/>
      <c r="AD185" s="192"/>
      <c r="AE185" s="192"/>
      <c r="AF185" s="192"/>
      <c r="AG185" s="192"/>
    </row>
    <row r="186" spans="2:39" ht="15" customHeight="1" x14ac:dyDescent="0.3">
      <c r="H186" s="35"/>
      <c r="I186" s="35"/>
      <c r="J186" s="2"/>
      <c r="K186" s="2"/>
      <c r="L186" s="2"/>
      <c r="M186" s="35"/>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spans="2:39" ht="15" customHeight="1" x14ac:dyDescent="0.3">
      <c r="H187" s="35"/>
      <c r="I187" s="35"/>
      <c r="J187" s="2"/>
      <c r="K187" s="2"/>
      <c r="L187" s="2"/>
      <c r="M187" s="35"/>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spans="2:39" ht="15" customHeight="1" x14ac:dyDescent="0.3">
      <c r="B188" s="38" t="s">
        <v>80</v>
      </c>
      <c r="C188" s="52"/>
      <c r="D188" s="52"/>
      <c r="E188" s="52"/>
      <c r="F188" s="52"/>
      <c r="G188" s="52"/>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128" t="s">
        <v>378</v>
      </c>
      <c r="AF188" s="269">
        <f>'Form 2B.1 - Design'!$AE$7</f>
        <v>0</v>
      </c>
      <c r="AG188" s="269"/>
      <c r="AH188" s="269"/>
      <c r="AI188" s="269"/>
      <c r="AJ188" s="269"/>
      <c r="AK188" s="269"/>
      <c r="AL188" s="40"/>
      <c r="AM188" s="14" t="s">
        <v>273</v>
      </c>
    </row>
    <row r="189" spans="2:39" ht="15" customHeight="1" x14ac:dyDescent="0.3">
      <c r="B189" s="41"/>
      <c r="C189" s="9"/>
      <c r="D189" s="9"/>
      <c r="E189" s="9"/>
      <c r="F189" s="9"/>
      <c r="G189" s="9"/>
      <c r="H189" s="9"/>
      <c r="I189" s="9"/>
      <c r="J189" s="9"/>
      <c r="K189" s="42" t="s">
        <v>81</v>
      </c>
      <c r="L189" s="42"/>
      <c r="M189" s="43" t="s">
        <v>215</v>
      </c>
      <c r="N189" s="42"/>
      <c r="O189" s="42"/>
      <c r="P189" s="43"/>
      <c r="Q189" s="9"/>
      <c r="R189" s="9"/>
      <c r="S189" s="9"/>
      <c r="T189" s="9"/>
      <c r="U189" s="9"/>
      <c r="V189" s="9"/>
      <c r="W189" s="9"/>
      <c r="X189" s="9"/>
      <c r="Y189" s="9"/>
      <c r="Z189" s="9"/>
      <c r="AA189" s="9"/>
      <c r="AB189" s="9"/>
      <c r="AC189" s="9"/>
      <c r="AD189" s="9"/>
      <c r="AE189" s="9"/>
      <c r="AF189" s="9"/>
      <c r="AG189" s="9"/>
      <c r="AH189" s="9"/>
      <c r="AI189" s="9"/>
      <c r="AJ189" s="9"/>
      <c r="AK189" s="9"/>
      <c r="AL189" s="44"/>
      <c r="AM189" s="91">
        <f>SUM(AM190:AM212)</f>
        <v>12</v>
      </c>
    </row>
    <row r="190" spans="2:39" ht="15" customHeight="1" x14ac:dyDescent="0.3">
      <c r="B190" s="41"/>
      <c r="C190" s="9"/>
      <c r="D190" s="9"/>
      <c r="E190" s="9"/>
      <c r="F190" s="9"/>
      <c r="G190" s="9"/>
      <c r="H190" s="9"/>
      <c r="I190" s="9"/>
      <c r="J190" s="9"/>
      <c r="K190" s="10" t="str">
        <f>IF(Tables!F25=0,"",Tables!F25&amp;":")</f>
        <v/>
      </c>
      <c r="L190" s="42"/>
      <c r="M190" s="9"/>
      <c r="N190" s="42"/>
      <c r="O190" s="42"/>
      <c r="P190" s="43"/>
      <c r="Q190" s="9"/>
      <c r="R190" s="9"/>
      <c r="S190" s="9"/>
      <c r="T190" s="9"/>
      <c r="U190" s="9"/>
      <c r="V190" s="9"/>
      <c r="W190" s="9"/>
      <c r="X190" s="9"/>
      <c r="Y190" s="9"/>
      <c r="Z190" s="9"/>
      <c r="AA190" s="9"/>
      <c r="AB190" s="9"/>
      <c r="AC190" s="9"/>
      <c r="AD190" s="9"/>
      <c r="AE190" s="9"/>
      <c r="AF190" s="9"/>
      <c r="AG190" s="9"/>
      <c r="AH190" s="9"/>
      <c r="AI190" s="9"/>
      <c r="AJ190" s="9"/>
      <c r="AK190" s="9"/>
      <c r="AL190" s="44"/>
      <c r="AM190" s="91">
        <f t="shared" ref="AM190:AM210" si="17">IF(M190="",0,1)</f>
        <v>0</v>
      </c>
    </row>
    <row r="191" spans="2:39" ht="15" customHeight="1" x14ac:dyDescent="0.3">
      <c r="B191" s="41"/>
      <c r="C191" s="9"/>
      <c r="D191" s="9"/>
      <c r="E191" s="9"/>
      <c r="F191" s="9"/>
      <c r="G191" s="9"/>
      <c r="H191" s="9"/>
      <c r="I191" s="9"/>
      <c r="J191" s="9"/>
      <c r="K191" s="10" t="s">
        <v>84</v>
      </c>
      <c r="L191" s="10"/>
      <c r="M191" s="9" t="str">
        <f>IF(AM62&lt;6,Tables!J4,"")</f>
        <v>Emergency Spillway Section not completed</v>
      </c>
      <c r="N191" s="10"/>
      <c r="O191" s="10"/>
      <c r="P191" s="9"/>
      <c r="Q191" s="9"/>
      <c r="R191" s="9"/>
      <c r="S191" s="9"/>
      <c r="T191" s="9"/>
      <c r="U191" s="9"/>
      <c r="V191" s="9"/>
      <c r="W191" s="9"/>
      <c r="X191" s="9"/>
      <c r="Y191" s="9"/>
      <c r="Z191" s="9"/>
      <c r="AA191" s="9"/>
      <c r="AB191" s="9"/>
      <c r="AC191" s="9"/>
      <c r="AD191" s="9"/>
      <c r="AE191" s="9"/>
      <c r="AF191" s="9"/>
      <c r="AG191" s="9"/>
      <c r="AH191" s="9"/>
      <c r="AI191" s="9"/>
      <c r="AJ191" s="9"/>
      <c r="AK191" s="9"/>
      <c r="AL191" s="44"/>
      <c r="AM191" s="91">
        <f t="shared" si="17"/>
        <v>1</v>
      </c>
    </row>
    <row r="192" spans="2:39" ht="15" customHeight="1" x14ac:dyDescent="0.3">
      <c r="B192" s="41"/>
      <c r="C192" s="9"/>
      <c r="D192" s="9"/>
      <c r="E192" s="9"/>
      <c r="F192" s="9"/>
      <c r="G192" s="9"/>
      <c r="H192" s="9"/>
      <c r="I192" s="9"/>
      <c r="J192" s="9"/>
      <c r="K192" s="10" t="s">
        <v>267</v>
      </c>
      <c r="L192" s="10"/>
      <c r="M192" s="9" t="str">
        <f>IF(OR(AO124&lt;1,AO125&lt;1),Tables!J11,"")</f>
        <v>Freeboard  &lt;  1.0 ft</v>
      </c>
      <c r="N192" s="10"/>
      <c r="O192" s="10"/>
      <c r="P192" s="9"/>
      <c r="Q192" s="9"/>
      <c r="R192" s="9"/>
      <c r="S192" s="9"/>
      <c r="T192" s="9"/>
      <c r="U192" s="9"/>
      <c r="V192" s="9"/>
      <c r="W192" s="9"/>
      <c r="X192" s="9"/>
      <c r="Y192" s="9"/>
      <c r="Z192" s="9"/>
      <c r="AA192" s="9"/>
      <c r="AB192" s="9"/>
      <c r="AC192" s="9"/>
      <c r="AD192" s="9"/>
      <c r="AE192" s="9"/>
      <c r="AF192" s="9"/>
      <c r="AG192" s="9"/>
      <c r="AH192" s="9"/>
      <c r="AI192" s="9"/>
      <c r="AJ192" s="9"/>
      <c r="AK192" s="9"/>
      <c r="AL192" s="44"/>
      <c r="AM192" s="91">
        <f t="shared" si="17"/>
        <v>1</v>
      </c>
    </row>
    <row r="193" spans="2:46" ht="15" customHeight="1" x14ac:dyDescent="0.3">
      <c r="B193" s="41"/>
      <c r="C193" s="9"/>
      <c r="D193" s="9"/>
      <c r="E193" s="9"/>
      <c r="F193" s="9"/>
      <c r="G193" s="9"/>
      <c r="H193" s="9"/>
      <c r="I193" s="9"/>
      <c r="J193" s="9"/>
      <c r="K193" s="10" t="s">
        <v>107</v>
      </c>
      <c r="L193" s="10"/>
      <c r="M193" s="9" t="str">
        <f>IF(AO69&lt;2,Tables!J8,"")</f>
        <v>Latitude and/or Longitude not provided</v>
      </c>
      <c r="N193" s="10"/>
      <c r="O193" s="10"/>
      <c r="P193" s="9"/>
      <c r="Q193" s="9"/>
      <c r="R193" s="9"/>
      <c r="S193" s="9"/>
      <c r="T193" s="9"/>
      <c r="U193" s="9"/>
      <c r="V193" s="9"/>
      <c r="W193" s="9"/>
      <c r="X193" s="9"/>
      <c r="Y193" s="9"/>
      <c r="Z193" s="9"/>
      <c r="AA193" s="9"/>
      <c r="AB193" s="9"/>
      <c r="AC193" s="9"/>
      <c r="AD193" s="9"/>
      <c r="AE193" s="9"/>
      <c r="AF193" s="9"/>
      <c r="AG193" s="9"/>
      <c r="AH193" s="9"/>
      <c r="AI193" s="9"/>
      <c r="AJ193" s="9"/>
      <c r="AK193" s="9"/>
      <c r="AL193" s="44"/>
      <c r="AM193" s="91">
        <f t="shared" si="17"/>
        <v>1</v>
      </c>
    </row>
    <row r="194" spans="2:46" ht="15" customHeight="1" x14ac:dyDescent="0.3">
      <c r="B194" s="41"/>
      <c r="C194" s="9"/>
      <c r="D194" s="9"/>
      <c r="E194" s="9"/>
      <c r="F194" s="9"/>
      <c r="G194" s="9"/>
      <c r="H194" s="9"/>
      <c r="I194" s="9"/>
      <c r="J194" s="9"/>
      <c r="K194" s="10"/>
      <c r="L194" s="10"/>
      <c r="M194" s="9" t="str">
        <f>IF(AND(AS68=1,AS69=1),Tables!$J$14,IF(OR(AS68=3,AS69=3),Tables!$J$14,""))</f>
        <v>Latitude and/or Longitude has been entered as text.  Change to a number.</v>
      </c>
      <c r="N194" s="10"/>
      <c r="O194" s="10"/>
      <c r="P194" s="9"/>
      <c r="Q194" s="9"/>
      <c r="R194" s="9"/>
      <c r="S194" s="9"/>
      <c r="T194" s="9"/>
      <c r="U194" s="9"/>
      <c r="V194" s="9"/>
      <c r="W194" s="9"/>
      <c r="X194" s="9"/>
      <c r="Y194" s="9"/>
      <c r="Z194" s="9"/>
      <c r="AA194" s="9"/>
      <c r="AB194" s="9"/>
      <c r="AC194" s="9"/>
      <c r="AD194" s="9"/>
      <c r="AE194" s="9"/>
      <c r="AF194" s="9"/>
      <c r="AG194" s="9"/>
      <c r="AH194" s="9"/>
      <c r="AI194" s="9"/>
      <c r="AJ194" s="9"/>
      <c r="AK194" s="9"/>
      <c r="AL194" s="44"/>
      <c r="AM194" s="91">
        <f t="shared" si="17"/>
        <v>1</v>
      </c>
    </row>
    <row r="195" spans="2:46" ht="15" customHeight="1" x14ac:dyDescent="0.3">
      <c r="B195" s="41"/>
      <c r="C195" s="9"/>
      <c r="D195" s="9"/>
      <c r="E195" s="9"/>
      <c r="F195" s="9"/>
      <c r="G195" s="9"/>
      <c r="H195" s="9"/>
      <c r="I195" s="9"/>
      <c r="J195" s="9"/>
      <c r="K195" s="10" t="s">
        <v>142</v>
      </c>
      <c r="L195" s="10"/>
      <c r="M195" s="9" t="str">
        <f>IF(AO79=2,Tables!J9,IF(AO78=1,"",Tables!J9))</f>
        <v>WQv Required &gt; WQv Provided</v>
      </c>
      <c r="N195" s="10"/>
      <c r="O195" s="10"/>
      <c r="P195" s="9"/>
      <c r="Q195" s="9"/>
      <c r="R195" s="9"/>
      <c r="S195" s="9"/>
      <c r="T195" s="9"/>
      <c r="U195" s="9"/>
      <c r="V195" s="9"/>
      <c r="W195" s="9"/>
      <c r="X195" s="9"/>
      <c r="Y195" s="9"/>
      <c r="Z195" s="9"/>
      <c r="AA195" s="9"/>
      <c r="AB195" s="9"/>
      <c r="AC195" s="9"/>
      <c r="AD195" s="9"/>
      <c r="AE195" s="9"/>
      <c r="AF195" s="9"/>
      <c r="AG195" s="9"/>
      <c r="AH195" s="9"/>
      <c r="AI195" s="9"/>
      <c r="AJ195" s="9"/>
      <c r="AK195" s="9"/>
      <c r="AL195" s="44"/>
      <c r="AM195" s="91">
        <f t="shared" si="17"/>
        <v>1</v>
      </c>
    </row>
    <row r="196" spans="2:46" ht="15" customHeight="1" x14ac:dyDescent="0.3">
      <c r="B196" s="41"/>
      <c r="C196" s="9"/>
      <c r="D196" s="9"/>
      <c r="E196" s="9"/>
      <c r="F196" s="9"/>
      <c r="G196" s="9"/>
      <c r="H196" s="9"/>
      <c r="I196" s="9"/>
      <c r="J196" s="9"/>
      <c r="K196" s="102" t="s">
        <v>85</v>
      </c>
      <c r="L196" s="10"/>
      <c r="M196" s="9"/>
      <c r="N196" s="10"/>
      <c r="O196" s="10"/>
      <c r="P196" s="9"/>
      <c r="Q196" s="9"/>
      <c r="R196" s="9"/>
      <c r="S196" s="9"/>
      <c r="T196" s="9"/>
      <c r="U196" s="9"/>
      <c r="V196" s="9"/>
      <c r="W196" s="9"/>
      <c r="X196" s="9"/>
      <c r="Y196" s="9"/>
      <c r="Z196" s="9"/>
      <c r="AA196" s="9"/>
      <c r="AB196" s="9"/>
      <c r="AC196" s="9"/>
      <c r="AD196" s="9"/>
      <c r="AE196" s="9"/>
      <c r="AF196" s="9"/>
      <c r="AG196" s="9"/>
      <c r="AH196" s="9"/>
      <c r="AI196" s="9"/>
      <c r="AJ196" s="9"/>
      <c r="AK196" s="9"/>
      <c r="AL196" s="44"/>
      <c r="AM196" s="91">
        <f t="shared" si="17"/>
        <v>0</v>
      </c>
    </row>
    <row r="197" spans="2:46" ht="15" customHeight="1" x14ac:dyDescent="0.3">
      <c r="B197" s="41"/>
      <c r="C197" s="9"/>
      <c r="D197" s="9"/>
      <c r="E197" s="9"/>
      <c r="F197" s="9"/>
      <c r="G197" s="9"/>
      <c r="H197" s="9"/>
      <c r="I197" s="9"/>
      <c r="J197" s="9"/>
      <c r="K197" s="10" t="s">
        <v>147</v>
      </c>
      <c r="L197" s="10"/>
      <c r="M197" s="9" t="str">
        <f>IF(AM119&gt;0,Tables!J10,"")</f>
        <v>As-Built does not match Design, provide a reason in the Comments section</v>
      </c>
      <c r="N197" s="10"/>
      <c r="O197" s="10"/>
      <c r="P197" s="9"/>
      <c r="Q197" s="9"/>
      <c r="R197" s="9"/>
      <c r="S197" s="9"/>
      <c r="T197" s="9"/>
      <c r="U197" s="9"/>
      <c r="V197" s="9"/>
      <c r="W197" s="9"/>
      <c r="X197" s="9"/>
      <c r="Y197" s="9"/>
      <c r="Z197" s="9"/>
      <c r="AA197" s="9"/>
      <c r="AB197" s="9"/>
      <c r="AC197" s="9"/>
      <c r="AD197" s="9"/>
      <c r="AE197" s="9"/>
      <c r="AF197" s="9"/>
      <c r="AG197" s="9"/>
      <c r="AH197" s="9"/>
      <c r="AI197" s="9"/>
      <c r="AJ197" s="9"/>
      <c r="AK197" s="9"/>
      <c r="AL197" s="44"/>
      <c r="AM197" s="91">
        <f t="shared" si="17"/>
        <v>1</v>
      </c>
    </row>
    <row r="198" spans="2:46" ht="15" customHeight="1" x14ac:dyDescent="0.3">
      <c r="B198" s="45"/>
      <c r="C198" s="46"/>
      <c r="D198" s="46"/>
      <c r="E198" s="46"/>
      <c r="F198" s="46"/>
      <c r="G198" s="46"/>
      <c r="H198" s="46"/>
      <c r="I198" s="46"/>
      <c r="J198" s="46"/>
      <c r="K198" s="47" t="s">
        <v>148</v>
      </c>
      <c r="L198" s="47"/>
      <c r="M198" s="46" t="str">
        <f>IF(AN119&gt;0,Tables!J10,"")</f>
        <v>As-Built does not match Design, provide a reason in the Comments section</v>
      </c>
      <c r="N198" s="47"/>
      <c r="O198" s="47"/>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8"/>
      <c r="AM198" s="134">
        <f t="shared" si="17"/>
        <v>1</v>
      </c>
    </row>
    <row r="199" spans="2:46" ht="15" customHeight="1" x14ac:dyDescent="0.3">
      <c r="K199" s="2"/>
      <c r="L199" s="2"/>
      <c r="N199" s="2"/>
      <c r="O199" s="2"/>
      <c r="AM199" s="4"/>
      <c r="AN199" s="22"/>
      <c r="AO199" s="4"/>
      <c r="AP199" s="4"/>
      <c r="AQ199" s="4"/>
      <c r="AR199" s="4"/>
      <c r="AS199" s="4"/>
      <c r="AT199" s="4"/>
    </row>
    <row r="200" spans="2:46" ht="15" customHeight="1" x14ac:dyDescent="0.3">
      <c r="AK200" s="26"/>
      <c r="AM200" s="4"/>
      <c r="AN200" s="22"/>
      <c r="AO200" s="4"/>
      <c r="AP200" s="4"/>
      <c r="AQ200" s="4"/>
      <c r="AR200" s="4"/>
      <c r="AS200" s="4"/>
      <c r="AT200" s="4"/>
    </row>
    <row r="201" spans="2:46" ht="15" customHeight="1" x14ac:dyDescent="0.3">
      <c r="B201" s="203">
        <f>Tables!$F$13</f>
        <v>45931</v>
      </c>
      <c r="C201" s="203"/>
      <c r="D201" s="203"/>
      <c r="E201" s="203"/>
      <c r="F201" s="203"/>
      <c r="G201" s="203"/>
      <c r="H201" s="203"/>
      <c r="R201" s="189" t="s">
        <v>448</v>
      </c>
      <c r="S201" s="189"/>
      <c r="T201" s="189"/>
      <c r="U201" s="189"/>
      <c r="AK201" s="26"/>
      <c r="AM201" s="4"/>
      <c r="AN201" s="22"/>
      <c r="AO201" s="4"/>
      <c r="AP201" s="4"/>
      <c r="AQ201" s="4"/>
      <c r="AR201" s="4"/>
      <c r="AS201" s="4"/>
      <c r="AT201" s="4"/>
    </row>
    <row r="202" spans="2:46" ht="15" customHeight="1" x14ac:dyDescent="0.3">
      <c r="C202" s="2" t="s">
        <v>1</v>
      </c>
      <c r="D202" s="210">
        <f>IF(ISBLANK($E$7),"",$E$7)</f>
        <v>0</v>
      </c>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34"/>
      <c r="AB202" s="34"/>
      <c r="AC202" s="34"/>
      <c r="AF202" s="2" t="s">
        <v>19</v>
      </c>
      <c r="AG202" s="187">
        <f>$AF$7</f>
        <v>0</v>
      </c>
      <c r="AH202" s="187"/>
      <c r="AI202" s="187"/>
      <c r="AJ202" s="187"/>
      <c r="AK202" s="187"/>
      <c r="AM202" s="4"/>
      <c r="AN202" s="22"/>
      <c r="AO202" s="4"/>
      <c r="AP202" s="4"/>
      <c r="AQ202" s="4"/>
      <c r="AR202" s="4"/>
      <c r="AS202" s="4"/>
      <c r="AT202" s="4"/>
    </row>
    <row r="203" spans="2:46" ht="15" customHeight="1" x14ac:dyDescent="0.3">
      <c r="H203" s="35"/>
      <c r="I203" s="35"/>
      <c r="J203" s="2"/>
      <c r="K203" s="2"/>
      <c r="L203" s="2"/>
      <c r="M203" s="35"/>
      <c r="N203" s="34"/>
      <c r="O203" s="34"/>
      <c r="P203" s="34"/>
      <c r="Q203" s="34"/>
      <c r="R203" s="34"/>
      <c r="S203" s="34"/>
      <c r="T203" s="34"/>
      <c r="U203" s="34"/>
      <c r="V203" s="34"/>
      <c r="W203" s="34"/>
      <c r="X203" s="34"/>
      <c r="Y203" s="34"/>
      <c r="Z203" s="34"/>
      <c r="AA203" s="34"/>
      <c r="AB203" s="34"/>
      <c r="AC203" s="34"/>
      <c r="AF203" s="2" t="s">
        <v>32</v>
      </c>
      <c r="AG203" s="254">
        <f>IF(ISBLANK($AF$8),"",$AF$8)</f>
        <v>0</v>
      </c>
      <c r="AH203" s="254"/>
      <c r="AI203" s="254"/>
      <c r="AJ203" s="254"/>
      <c r="AK203" s="254"/>
      <c r="AM203" s="4"/>
      <c r="AN203" s="22"/>
      <c r="AO203" s="4"/>
      <c r="AP203" s="4"/>
      <c r="AQ203" s="4"/>
      <c r="AR203" s="4"/>
      <c r="AS203" s="4"/>
      <c r="AT203" s="4"/>
    </row>
    <row r="204" spans="2:46" ht="15" customHeight="1" x14ac:dyDescent="0.3">
      <c r="K204" s="2"/>
      <c r="L204" s="2"/>
      <c r="N204" s="2"/>
      <c r="O204" s="2"/>
      <c r="AM204" s="4"/>
      <c r="AN204" s="22"/>
      <c r="AO204" s="4"/>
      <c r="AP204" s="4"/>
      <c r="AQ204" s="4"/>
      <c r="AR204" s="4"/>
      <c r="AS204" s="4"/>
      <c r="AT204" s="4"/>
    </row>
    <row r="205" spans="2:46" ht="15" customHeight="1" x14ac:dyDescent="0.3">
      <c r="B205" s="38" t="s">
        <v>446</v>
      </c>
      <c r="C205" s="52"/>
      <c r="D205" s="52"/>
      <c r="E205" s="52"/>
      <c r="F205" s="52"/>
      <c r="G205" s="52"/>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40"/>
      <c r="AM205" s="114"/>
    </row>
    <row r="206" spans="2:46" ht="15" customHeight="1" x14ac:dyDescent="0.3">
      <c r="B206" s="41"/>
      <c r="C206" s="9"/>
      <c r="D206" s="9"/>
      <c r="E206" s="9"/>
      <c r="F206" s="9"/>
      <c r="G206" s="9"/>
      <c r="H206" s="9"/>
      <c r="I206" s="9"/>
      <c r="J206" s="9"/>
      <c r="K206" s="10" t="s">
        <v>79</v>
      </c>
      <c r="L206" s="10"/>
      <c r="M206" s="9" t="str">
        <f>IF(AO119&gt;0,Tables!J7,"")</f>
        <v>Max Stage for 2, 5, 10, 25, and/or 50-year storm  &gt; emergency spillway crest elevation</v>
      </c>
      <c r="N206" s="10"/>
      <c r="O206" s="10"/>
      <c r="P206" s="9"/>
      <c r="Q206" s="9"/>
      <c r="R206" s="9"/>
      <c r="S206" s="9"/>
      <c r="T206" s="9"/>
      <c r="U206" s="9"/>
      <c r="V206" s="9"/>
      <c r="W206" s="9"/>
      <c r="X206" s="9"/>
      <c r="Y206" s="9"/>
      <c r="Z206" s="9"/>
      <c r="AA206" s="9"/>
      <c r="AB206" s="9"/>
      <c r="AC206" s="9"/>
      <c r="AD206" s="9"/>
      <c r="AE206" s="9"/>
      <c r="AF206" s="9"/>
      <c r="AG206" s="9"/>
      <c r="AH206" s="9"/>
      <c r="AI206" s="9"/>
      <c r="AJ206" s="9"/>
      <c r="AK206" s="9"/>
      <c r="AL206" s="44"/>
      <c r="AM206" s="91">
        <f t="shared" si="17"/>
        <v>1</v>
      </c>
    </row>
    <row r="207" spans="2:46" ht="15" customHeight="1" x14ac:dyDescent="0.3">
      <c r="B207" s="41"/>
      <c r="C207" s="9"/>
      <c r="D207" s="9"/>
      <c r="E207" s="9"/>
      <c r="F207" s="9"/>
      <c r="G207" s="9"/>
      <c r="H207" s="9"/>
      <c r="I207" s="9"/>
      <c r="J207" s="9"/>
      <c r="K207" s="10" t="s">
        <v>229</v>
      </c>
      <c r="L207" s="10"/>
      <c r="M207" s="9" t="str">
        <f>IF(AT119&gt;0,Tables!J18,"")</f>
        <v>Outlet Control Structure Velocity &gt; 6 ft/s</v>
      </c>
      <c r="N207" s="10"/>
      <c r="O207" s="10"/>
      <c r="P207" s="9"/>
      <c r="Q207" s="9"/>
      <c r="R207" s="9"/>
      <c r="S207" s="9"/>
      <c r="T207" s="9"/>
      <c r="U207" s="9"/>
      <c r="V207" s="9"/>
      <c r="W207" s="9"/>
      <c r="X207" s="9"/>
      <c r="Y207" s="9"/>
      <c r="Z207" s="9"/>
      <c r="AA207" s="9"/>
      <c r="AB207" s="9"/>
      <c r="AC207" s="9"/>
      <c r="AD207" s="9"/>
      <c r="AE207" s="9"/>
      <c r="AF207" s="9"/>
      <c r="AG207" s="9"/>
      <c r="AH207" s="9"/>
      <c r="AI207" s="9"/>
      <c r="AJ207" s="9"/>
      <c r="AK207" s="9"/>
      <c r="AL207" s="44"/>
      <c r="AM207" s="91">
        <f t="shared" si="17"/>
        <v>1</v>
      </c>
    </row>
    <row r="208" spans="2:46" ht="15" customHeight="1" x14ac:dyDescent="0.3">
      <c r="B208" s="41"/>
      <c r="C208" s="9"/>
      <c r="D208" s="9"/>
      <c r="E208" s="9"/>
      <c r="F208" s="9"/>
      <c r="G208" s="9"/>
      <c r="H208" s="9"/>
      <c r="I208" s="9"/>
      <c r="J208" s="9"/>
      <c r="K208" s="10"/>
      <c r="L208" s="10"/>
      <c r="M208" s="9" t="str">
        <f>IF(AP119&gt;0,Tables!J6,"")</f>
        <v>Emergency Spillway Velocity &gt; 6 ft/s</v>
      </c>
      <c r="N208" s="10"/>
      <c r="O208" s="10"/>
      <c r="P208" s="9"/>
      <c r="Q208" s="9"/>
      <c r="R208" s="9"/>
      <c r="S208" s="9"/>
      <c r="T208" s="9"/>
      <c r="U208" s="9"/>
      <c r="V208" s="9"/>
      <c r="W208" s="9"/>
      <c r="X208" s="9"/>
      <c r="Y208" s="9"/>
      <c r="Z208" s="9"/>
      <c r="AA208" s="9"/>
      <c r="AB208" s="9"/>
      <c r="AC208" s="9"/>
      <c r="AD208" s="9"/>
      <c r="AE208" s="9"/>
      <c r="AF208" s="9"/>
      <c r="AG208" s="9"/>
      <c r="AH208" s="9"/>
      <c r="AI208" s="9"/>
      <c r="AJ208" s="9"/>
      <c r="AK208" s="9"/>
      <c r="AL208" s="44"/>
      <c r="AM208" s="91">
        <f>IF(M208="",0,1)</f>
        <v>1</v>
      </c>
    </row>
    <row r="209" spans="2:39" ht="15" customHeight="1" x14ac:dyDescent="0.3">
      <c r="B209" s="41"/>
      <c r="C209" s="9"/>
      <c r="D209" s="9"/>
      <c r="E209" s="9"/>
      <c r="F209" s="9"/>
      <c r="G209" s="9"/>
      <c r="H209" s="9"/>
      <c r="I209" s="9"/>
      <c r="J209" s="9"/>
      <c r="K209" s="10" t="s">
        <v>86</v>
      </c>
      <c r="L209" s="10"/>
      <c r="M209" s="9" t="str">
        <f>IF(OR(AQ119&gt;0,AS119&gt;0),Tables!J5,"")</f>
        <v>Total Post Q &gt; Pre Q</v>
      </c>
      <c r="N209" s="10"/>
      <c r="O209" s="10"/>
      <c r="P209" s="9"/>
      <c r="Q209" s="9"/>
      <c r="R209" s="9"/>
      <c r="S209" s="9"/>
      <c r="T209" s="9"/>
      <c r="U209" s="9"/>
      <c r="V209" s="9"/>
      <c r="W209" s="9"/>
      <c r="X209" s="9"/>
      <c r="Y209" s="9"/>
      <c r="Z209" s="9"/>
      <c r="AA209" s="9"/>
      <c r="AB209" s="9"/>
      <c r="AC209" s="9"/>
      <c r="AD209" s="9"/>
      <c r="AE209" s="9"/>
      <c r="AF209" s="9"/>
      <c r="AG209" s="9"/>
      <c r="AH209" s="9"/>
      <c r="AI209" s="9"/>
      <c r="AJ209" s="9"/>
      <c r="AK209" s="9"/>
      <c r="AL209" s="44"/>
      <c r="AM209" s="91">
        <f t="shared" si="17"/>
        <v>1</v>
      </c>
    </row>
    <row r="210" spans="2:39" ht="15" customHeight="1" x14ac:dyDescent="0.3">
      <c r="B210" s="41"/>
      <c r="C210" s="9"/>
      <c r="D210" s="9"/>
      <c r="E210" s="9"/>
      <c r="F210" s="9"/>
      <c r="G210" s="9"/>
      <c r="H210" s="9"/>
      <c r="I210" s="9"/>
      <c r="J210" s="9"/>
      <c r="K210" s="10"/>
      <c r="L210" s="10"/>
      <c r="M210" s="9" t="str">
        <f>IF(AQ113="yes",IF(AND(ISBLANK('Form 2B.1 - Design'!$C$124),ISBLANK('Form 2B.1 - Design'!$F$124)),Tables!$J$15,IF(AND($AQ$119&gt;0,$AP$113=2),Tables!$J$15,"")),"")</f>
        <v/>
      </c>
      <c r="N210" s="10"/>
      <c r="O210" s="10"/>
      <c r="P210" s="9"/>
      <c r="Q210" s="9"/>
      <c r="R210" s="9"/>
      <c r="S210" s="9"/>
      <c r="T210" s="9"/>
      <c r="U210" s="9"/>
      <c r="V210" s="9"/>
      <c r="W210" s="9"/>
      <c r="X210" s="9"/>
      <c r="Y210" s="9"/>
      <c r="Z210" s="9"/>
      <c r="AA210" s="9"/>
      <c r="AB210" s="9"/>
      <c r="AC210" s="9"/>
      <c r="AD210" s="9"/>
      <c r="AE210" s="9"/>
      <c r="AF210" s="9"/>
      <c r="AG210" s="9"/>
      <c r="AH210" s="9"/>
      <c r="AI210" s="9"/>
      <c r="AJ210" s="9"/>
      <c r="AK210" s="9"/>
      <c r="AL210" s="44"/>
      <c r="AM210" s="91">
        <f t="shared" si="17"/>
        <v>0</v>
      </c>
    </row>
    <row r="211" spans="2:39" ht="15" customHeight="1" x14ac:dyDescent="0.3">
      <c r="B211" s="41"/>
      <c r="C211" s="9"/>
      <c r="D211" s="9"/>
      <c r="E211" s="9"/>
      <c r="F211" s="9"/>
      <c r="G211" s="9"/>
      <c r="H211" s="9"/>
      <c r="I211" s="9"/>
      <c r="J211" s="9"/>
      <c r="K211" s="10"/>
      <c r="L211" s="10"/>
      <c r="M211" s="9" t="str">
        <f>IF(AQ114="Yes",IF(AND(ISBLANK('Form 2B.1 - Design'!$C$126),ISBLANK('Form 2B.1 - Design'!$F$126)),Tables!$J$16,IF(AND($AR$119&gt;0,$AP$114=2),Tables!$J$16,"")),"")</f>
        <v/>
      </c>
      <c r="N211" s="10"/>
      <c r="O211" s="10"/>
      <c r="P211" s="9"/>
      <c r="Q211" s="9"/>
      <c r="R211" s="9"/>
      <c r="S211" s="9"/>
      <c r="T211" s="9"/>
      <c r="U211" s="9"/>
      <c r="V211" s="9"/>
      <c r="W211" s="9"/>
      <c r="X211" s="9"/>
      <c r="Y211" s="9"/>
      <c r="Z211" s="9"/>
      <c r="AA211" s="9"/>
      <c r="AB211" s="9"/>
      <c r="AC211" s="9"/>
      <c r="AD211" s="9"/>
      <c r="AE211" s="9"/>
      <c r="AF211" s="9"/>
      <c r="AG211" s="9"/>
      <c r="AH211" s="9"/>
      <c r="AI211" s="9"/>
      <c r="AJ211" s="9"/>
      <c r="AK211" s="9"/>
      <c r="AL211" s="44"/>
      <c r="AM211" s="91">
        <f>IF(M211="",0,1)</f>
        <v>0</v>
      </c>
    </row>
    <row r="212" spans="2:39" ht="15" customHeight="1" x14ac:dyDescent="0.3">
      <c r="B212" s="45"/>
      <c r="C212" s="46"/>
      <c r="D212" s="46"/>
      <c r="E212" s="46"/>
      <c r="F212" s="46"/>
      <c r="G212" s="46"/>
      <c r="H212" s="46"/>
      <c r="I212" s="46"/>
      <c r="J212" s="46"/>
      <c r="K212" s="117" t="s">
        <v>385</v>
      </c>
      <c r="L212" s="47"/>
      <c r="M212" s="118" t="str">
        <f>IF(AM157=6,Tables!J17,IF(AP157&gt;0,Tables!J17,0))</f>
        <v>All required photographs are not provided</v>
      </c>
      <c r="N212" s="47"/>
      <c r="O212" s="47"/>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8"/>
      <c r="AM212" s="91">
        <f>IF(M212="",0,1)</f>
        <v>1</v>
      </c>
    </row>
    <row r="213" spans="2:39" ht="15" customHeight="1" x14ac:dyDescent="0.3"/>
    <row r="214" spans="2:39" ht="15" customHeight="1" x14ac:dyDescent="0.3"/>
    <row r="215" spans="2:39" ht="15" customHeight="1" x14ac:dyDescent="0.3"/>
    <row r="216" spans="2:39" ht="15" customHeight="1" x14ac:dyDescent="0.3"/>
    <row r="217" spans="2:39" ht="15" customHeight="1" x14ac:dyDescent="0.3"/>
    <row r="218" spans="2:39" ht="15" customHeight="1" x14ac:dyDescent="0.3"/>
    <row r="219" spans="2:39" ht="15" customHeight="1" x14ac:dyDescent="0.3"/>
    <row r="220" spans="2:39" ht="15" customHeight="1" x14ac:dyDescent="0.3"/>
    <row r="221" spans="2:39" ht="15" customHeight="1" x14ac:dyDescent="0.3"/>
    <row r="222" spans="2:39" ht="15" customHeight="1" x14ac:dyDescent="0.3"/>
    <row r="223" spans="2:39" ht="15" customHeight="1" x14ac:dyDescent="0.3"/>
    <row r="224" spans="2:39"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spans="2:37" ht="15" customHeight="1" x14ac:dyDescent="0.3"/>
    <row r="242" spans="2:37" ht="15" customHeight="1" x14ac:dyDescent="0.3"/>
    <row r="243" spans="2:37" ht="15" customHeight="1" x14ac:dyDescent="0.3">
      <c r="B243" s="203">
        <f>Tables!$F$13</f>
        <v>45931</v>
      </c>
      <c r="C243" s="203"/>
      <c r="D243" s="203"/>
      <c r="E243" s="203"/>
      <c r="F243" s="203"/>
      <c r="G243" s="203"/>
      <c r="H243" s="203"/>
      <c r="R243" s="189" t="s">
        <v>447</v>
      </c>
      <c r="S243" s="189"/>
      <c r="T243" s="189"/>
      <c r="U243" s="189"/>
      <c r="AK243" s="26"/>
    </row>
    <row r="244" spans="2:37" ht="15" customHeight="1" x14ac:dyDescent="0.3"/>
    <row r="245" spans="2:37" ht="15" customHeight="1" x14ac:dyDescent="0.3"/>
    <row r="246" spans="2:37" ht="15" customHeight="1" x14ac:dyDescent="0.3"/>
    <row r="247" spans="2:37" ht="15" hidden="1" customHeight="1" x14ac:dyDescent="0.3"/>
    <row r="248" spans="2:37" ht="15" hidden="1" customHeight="1" x14ac:dyDescent="0.3"/>
    <row r="249" spans="2:37" ht="15" hidden="1" customHeight="1" x14ac:dyDescent="0.3"/>
    <row r="250" spans="2:37" ht="15" hidden="1" customHeight="1" x14ac:dyDescent="0.3"/>
    <row r="251" spans="2:37" ht="15" hidden="1" customHeight="1" x14ac:dyDescent="0.3"/>
    <row r="252" spans="2:37" ht="15" hidden="1" customHeight="1" x14ac:dyDescent="0.3"/>
    <row r="253" spans="2:37" ht="15" hidden="1" customHeight="1" x14ac:dyDescent="0.3"/>
    <row r="254" spans="2:37" ht="15" hidden="1" customHeight="1" x14ac:dyDescent="0.3"/>
    <row r="255" spans="2:37" ht="15" hidden="1" customHeight="1" x14ac:dyDescent="0.3"/>
    <row r="256" spans="2:37" ht="15" hidden="1" customHeight="1" x14ac:dyDescent="0.3"/>
    <row r="257" ht="15" hidden="1" customHeight="1" x14ac:dyDescent="0.3"/>
    <row r="258" ht="15" hidden="1" customHeight="1" x14ac:dyDescent="0.3"/>
    <row r="259" ht="15" hidden="1" customHeight="1" x14ac:dyDescent="0.3"/>
    <row r="260" ht="15" hidden="1" customHeight="1" x14ac:dyDescent="0.3"/>
    <row r="261" ht="15" hidden="1" customHeight="1" x14ac:dyDescent="0.3"/>
    <row r="262" ht="15" hidden="1" customHeight="1" x14ac:dyDescent="0.3"/>
    <row r="263" ht="15" hidden="1" customHeight="1" x14ac:dyDescent="0.3"/>
    <row r="264" ht="15" hidden="1" customHeight="1" x14ac:dyDescent="0.3"/>
    <row r="265" ht="15" hidden="1" customHeight="1" x14ac:dyDescent="0.3"/>
    <row r="266" ht="15" hidden="1" customHeight="1" x14ac:dyDescent="0.3"/>
    <row r="267" ht="15" hidden="1" customHeight="1" x14ac:dyDescent="0.3"/>
    <row r="268" ht="15" hidden="1" customHeight="1" x14ac:dyDescent="0.3"/>
    <row r="269" ht="15" hidden="1" customHeight="1" x14ac:dyDescent="0.3"/>
    <row r="270" ht="15" hidden="1" customHeight="1" x14ac:dyDescent="0.3"/>
    <row r="271" ht="15" hidden="1" customHeight="1" x14ac:dyDescent="0.3"/>
    <row r="272" ht="15" hidden="1" customHeight="1" x14ac:dyDescent="0.3"/>
    <row r="273" ht="15" hidden="1" customHeight="1" x14ac:dyDescent="0.3"/>
    <row r="274" ht="15" hidden="1" customHeight="1" x14ac:dyDescent="0.3"/>
    <row r="275" ht="15" hidden="1" customHeight="1" x14ac:dyDescent="0.3"/>
    <row r="276" ht="15" hidden="1" customHeight="1" x14ac:dyDescent="0.3"/>
    <row r="277" ht="15" hidden="1" customHeight="1" x14ac:dyDescent="0.3"/>
    <row r="278" ht="15" hidden="1" customHeight="1" x14ac:dyDescent="0.3"/>
    <row r="279" ht="15" hidden="1" customHeight="1" x14ac:dyDescent="0.3"/>
    <row r="280" ht="15" hidden="1" customHeight="1" x14ac:dyDescent="0.3"/>
    <row r="281" ht="15" hidden="1" customHeight="1" x14ac:dyDescent="0.3"/>
  </sheetData>
  <sheetProtection algorithmName="SHA-512" hashValue="aNHLwe9Rd61Yky0mEdKAhPVcg9pUQybzjrHyKZOKlYdw1fUmJyZ8OsHt0eNjfLxM06yGb0usAxROVj45PE7hdw==" saltValue="Mnqjak0fXN/JdwxrDfoUSw==" spinCount="100000" sheet="1" objects="1" scenarios="1" selectLockedCells="1"/>
  <mergeCells count="469">
    <mergeCell ref="AH117:AK117"/>
    <mergeCell ref="AD119:AF119"/>
    <mergeCell ref="Y119:AB119"/>
    <mergeCell ref="AD120:AF120"/>
    <mergeCell ref="AD111:AF111"/>
    <mergeCell ref="Y111:AB111"/>
    <mergeCell ref="Y114:AB114"/>
    <mergeCell ref="Y113:AB113"/>
    <mergeCell ref="Y112:AB112"/>
    <mergeCell ref="AD114:AF114"/>
    <mergeCell ref="AD117:AF117"/>
    <mergeCell ref="AD116:AF116"/>
    <mergeCell ref="AD115:AF115"/>
    <mergeCell ref="Y117:AB117"/>
    <mergeCell ref="Y116:AB116"/>
    <mergeCell ref="Y115:AB115"/>
    <mergeCell ref="AD113:AF113"/>
    <mergeCell ref="AD112:AF112"/>
    <mergeCell ref="AH112:AK112"/>
    <mergeCell ref="D202:Z202"/>
    <mergeCell ref="AG202:AK202"/>
    <mergeCell ref="W181:Y181"/>
    <mergeCell ref="B128:AK135"/>
    <mergeCell ref="F149:V149"/>
    <mergeCell ref="AH124:AK124"/>
    <mergeCell ref="AH123:AK123"/>
    <mergeCell ref="AF188:AK188"/>
    <mergeCell ref="AC161:AI161"/>
    <mergeCell ref="AG153:AK153"/>
    <mergeCell ref="B152:H152"/>
    <mergeCell ref="R152:U152"/>
    <mergeCell ref="F142:V142"/>
    <mergeCell ref="M125:O125"/>
    <mergeCell ref="M124:O124"/>
    <mergeCell ref="M123:O123"/>
    <mergeCell ref="Y125:AB125"/>
    <mergeCell ref="Y124:AB124"/>
    <mergeCell ref="R201:U201"/>
    <mergeCell ref="E179:Y179"/>
    <mergeCell ref="E180:Y180"/>
    <mergeCell ref="E181:K181"/>
    <mergeCell ref="O181:R181"/>
    <mergeCell ref="C123:D123"/>
    <mergeCell ref="C122:D122"/>
    <mergeCell ref="M122:O122"/>
    <mergeCell ref="D153:Z153"/>
    <mergeCell ref="G19:J19"/>
    <mergeCell ref="V95:X95"/>
    <mergeCell ref="AA90:AD90"/>
    <mergeCell ref="E65:G65"/>
    <mergeCell ref="O65:Q65"/>
    <mergeCell ref="H72:P72"/>
    <mergeCell ref="E73:F73"/>
    <mergeCell ref="L73:M73"/>
    <mergeCell ref="X73:Y73"/>
    <mergeCell ref="E75:F75"/>
    <mergeCell ref="G23:J23"/>
    <mergeCell ref="M92:P92"/>
    <mergeCell ref="M93:P93"/>
    <mergeCell ref="J78:L78"/>
    <mergeCell ref="E63:H63"/>
    <mergeCell ref="K89:L89"/>
    <mergeCell ref="G89:J89"/>
    <mergeCell ref="K88:L88"/>
    <mergeCell ref="AD78:AF78"/>
    <mergeCell ref="A77:AL77"/>
    <mergeCell ref="AG89:AJ89"/>
    <mergeCell ref="E43:G43"/>
    <mergeCell ref="AG86:AJ86"/>
    <mergeCell ref="M85:P85"/>
    <mergeCell ref="AA91:AD91"/>
    <mergeCell ref="AA95:AD95"/>
    <mergeCell ref="AA47:AC47"/>
    <mergeCell ref="AA85:AD85"/>
    <mergeCell ref="AD79:AF79"/>
    <mergeCell ref="AA72:AI72"/>
    <mergeCell ref="AE73:AF73"/>
    <mergeCell ref="Y63:AB63"/>
    <mergeCell ref="AH64:AJ64"/>
    <mergeCell ref="A81:AL81"/>
    <mergeCell ref="Q88:R88"/>
    <mergeCell ref="B86:D86"/>
    <mergeCell ref="B87:D87"/>
    <mergeCell ref="B88:D88"/>
    <mergeCell ref="V84:X84"/>
    <mergeCell ref="G84:J84"/>
    <mergeCell ref="G83:J83"/>
    <mergeCell ref="O63:R63"/>
    <mergeCell ref="B89:D89"/>
    <mergeCell ref="B90:D90"/>
    <mergeCell ref="B84:D84"/>
    <mergeCell ref="AI47:AK47"/>
    <mergeCell ref="AF7:AK7"/>
    <mergeCell ref="AF8:AK8"/>
    <mergeCell ref="A61:AL61"/>
    <mergeCell ref="A67:AL67"/>
    <mergeCell ref="AI48:AK48"/>
    <mergeCell ref="AG58:AK58"/>
    <mergeCell ref="AG59:AK59"/>
    <mergeCell ref="AH63:AK63"/>
    <mergeCell ref="Q48:S48"/>
    <mergeCell ref="AA48:AC48"/>
    <mergeCell ref="E38:G38"/>
    <mergeCell ref="I38:K38"/>
    <mergeCell ref="M38:O38"/>
    <mergeCell ref="Q38:S38"/>
    <mergeCell ref="E42:G42"/>
    <mergeCell ref="I46:K46"/>
    <mergeCell ref="M47:O47"/>
    <mergeCell ref="AE46:AG46"/>
    <mergeCell ref="E44:G44"/>
    <mergeCell ref="Q47:S47"/>
    <mergeCell ref="E47:G47"/>
    <mergeCell ref="G18:J18"/>
    <mergeCell ref="I47:K47"/>
    <mergeCell ref="AI45:AK45"/>
    <mergeCell ref="AI46:AK46"/>
    <mergeCell ref="BO1:CC4"/>
    <mergeCell ref="AA83:AD83"/>
    <mergeCell ref="AA97:AD97"/>
    <mergeCell ref="V88:X88"/>
    <mergeCell ref="V89:X89"/>
    <mergeCell ref="V90:X90"/>
    <mergeCell ref="AG87:AJ87"/>
    <mergeCell ref="AG96:AJ96"/>
    <mergeCell ref="AA89:AD89"/>
    <mergeCell ref="AA88:AD88"/>
    <mergeCell ref="AG85:AJ85"/>
    <mergeCell ref="AG88:AJ88"/>
    <mergeCell ref="AA87:AD87"/>
    <mergeCell ref="AA86:AD86"/>
    <mergeCell ref="AA23:AD23"/>
    <mergeCell ref="V96:X96"/>
    <mergeCell ref="V91:X91"/>
    <mergeCell ref="AA96:AD96"/>
    <mergeCell ref="AE47:AG47"/>
    <mergeCell ref="Y64:AA64"/>
    <mergeCell ref="AA18:AD18"/>
    <mergeCell ref="AA19:AD19"/>
    <mergeCell ref="AK84:AL84"/>
    <mergeCell ref="E45:G45"/>
    <mergeCell ref="AE48:AG48"/>
    <mergeCell ref="E48:G48"/>
    <mergeCell ref="I48:K48"/>
    <mergeCell ref="O64:Q64"/>
    <mergeCell ref="D58:Z58"/>
    <mergeCell ref="M48:O48"/>
    <mergeCell ref="W48:Y48"/>
    <mergeCell ref="R57:U57"/>
    <mergeCell ref="E64:G64"/>
    <mergeCell ref="AE45:AG45"/>
    <mergeCell ref="AG84:AJ84"/>
    <mergeCell ref="Y65:AA65"/>
    <mergeCell ref="M78:N78"/>
    <mergeCell ref="AG78:AH78"/>
    <mergeCell ref="W47:Y47"/>
    <mergeCell ref="E46:G46"/>
    <mergeCell ref="B57:H57"/>
    <mergeCell ref="AH65:AJ65"/>
    <mergeCell ref="I68:L68"/>
    <mergeCell ref="I69:L69"/>
    <mergeCell ref="AD68:AG68"/>
    <mergeCell ref="AD69:AG69"/>
    <mergeCell ref="U1:AL4"/>
    <mergeCell ref="W46:Y46"/>
    <mergeCell ref="K23:L23"/>
    <mergeCell ref="AE23:AF23"/>
    <mergeCell ref="A12:AL12"/>
    <mergeCell ref="Y29:AB29"/>
    <mergeCell ref="AH29:AK29"/>
    <mergeCell ref="Y31:AA31"/>
    <mergeCell ref="Y30:AA30"/>
    <mergeCell ref="AH31:AJ31"/>
    <mergeCell ref="AE38:AG38"/>
    <mergeCell ref="Y32:AA32"/>
    <mergeCell ref="AI37:AK37"/>
    <mergeCell ref="E37:G37"/>
    <mergeCell ref="I37:K37"/>
    <mergeCell ref="M37:O37"/>
    <mergeCell ref="Q37:S37"/>
    <mergeCell ref="E7:Z7"/>
    <mergeCell ref="E8:Z8"/>
    <mergeCell ref="Q46:S46"/>
    <mergeCell ref="A27:AL27"/>
    <mergeCell ref="E29:H29"/>
    <mergeCell ref="K18:L18"/>
    <mergeCell ref="K19:L19"/>
    <mergeCell ref="AE18:AF18"/>
    <mergeCell ref="AE19:AF19"/>
    <mergeCell ref="M44:O44"/>
    <mergeCell ref="W43:Y43"/>
    <mergeCell ref="W44:Y44"/>
    <mergeCell ref="W45:Y45"/>
    <mergeCell ref="M43:O43"/>
    <mergeCell ref="I44:K44"/>
    <mergeCell ref="I45:K45"/>
    <mergeCell ref="AA44:AC44"/>
    <mergeCell ref="AA45:AC45"/>
    <mergeCell ref="Q43:S43"/>
    <mergeCell ref="Q44:S44"/>
    <mergeCell ref="M45:O45"/>
    <mergeCell ref="Q45:S45"/>
    <mergeCell ref="I42:K42"/>
    <mergeCell ref="M42:O42"/>
    <mergeCell ref="N29:Q29"/>
    <mergeCell ref="AE44:AG44"/>
    <mergeCell ref="I43:K43"/>
    <mergeCell ref="G88:J88"/>
    <mergeCell ref="AE87:AF87"/>
    <mergeCell ref="AE88:AF88"/>
    <mergeCell ref="J79:L79"/>
    <mergeCell ref="M88:P88"/>
    <mergeCell ref="K84:L84"/>
    <mergeCell ref="K85:L85"/>
    <mergeCell ref="K86:L86"/>
    <mergeCell ref="Q90:R90"/>
    <mergeCell ref="AA84:AD84"/>
    <mergeCell ref="Q84:R84"/>
    <mergeCell ref="Q85:R85"/>
    <mergeCell ref="Q86:R86"/>
    <mergeCell ref="Q87:R87"/>
    <mergeCell ref="M86:P86"/>
    <mergeCell ref="V85:X85"/>
    <mergeCell ref="AE84:AF84"/>
    <mergeCell ref="AE85:AF85"/>
    <mergeCell ref="AE86:AF86"/>
    <mergeCell ref="V87:X87"/>
    <mergeCell ref="K87:L87"/>
    <mergeCell ref="M84:P84"/>
    <mergeCell ref="Q94:R94"/>
    <mergeCell ref="B96:D96"/>
    <mergeCell ref="M95:P95"/>
    <mergeCell ref="AH32:AJ32"/>
    <mergeCell ref="M46:O46"/>
    <mergeCell ref="AI43:AK43"/>
    <mergeCell ref="AI44:AK44"/>
    <mergeCell ref="AA46:AC46"/>
    <mergeCell ref="AA37:AC37"/>
    <mergeCell ref="AA38:AC38"/>
    <mergeCell ref="AA42:AC42"/>
    <mergeCell ref="W37:Y37"/>
    <mergeCell ref="AE37:AG37"/>
    <mergeCell ref="AE42:AG42"/>
    <mergeCell ref="AE43:AG43"/>
    <mergeCell ref="W38:Y38"/>
    <mergeCell ref="AI42:AK42"/>
    <mergeCell ref="AA43:AC43"/>
    <mergeCell ref="Q42:S42"/>
    <mergeCell ref="W42:Y42"/>
    <mergeCell ref="AI38:AK38"/>
    <mergeCell ref="M89:P89"/>
    <mergeCell ref="M90:P90"/>
    <mergeCell ref="G87:J87"/>
    <mergeCell ref="AE142:AI142"/>
    <mergeCell ref="AG203:AK203"/>
    <mergeCell ref="B201:H201"/>
    <mergeCell ref="Q91:R91"/>
    <mergeCell ref="K93:L93"/>
    <mergeCell ref="K94:L94"/>
    <mergeCell ref="K95:L95"/>
    <mergeCell ref="AE91:AF91"/>
    <mergeCell ref="B93:D93"/>
    <mergeCell ref="D107:Z107"/>
    <mergeCell ref="C115:D115"/>
    <mergeCell ref="I111:K111"/>
    <mergeCell ref="B92:D92"/>
    <mergeCell ref="G96:J96"/>
    <mergeCell ref="G94:J94"/>
    <mergeCell ref="C114:D114"/>
    <mergeCell ref="B94:D94"/>
    <mergeCell ref="M96:P96"/>
    <mergeCell ref="V92:X92"/>
    <mergeCell ref="M115:O115"/>
    <mergeCell ref="M114:O114"/>
    <mergeCell ref="M113:O113"/>
    <mergeCell ref="U115:W115"/>
    <mergeCell ref="M94:P94"/>
    <mergeCell ref="I121:K121"/>
    <mergeCell ref="I120:K120"/>
    <mergeCell ref="Q121:S121"/>
    <mergeCell ref="B243:H243"/>
    <mergeCell ref="R243:U243"/>
    <mergeCell ref="X157:AA157"/>
    <mergeCell ref="Y161:Z161"/>
    <mergeCell ref="Y163:Z163"/>
    <mergeCell ref="Y165:Z165"/>
    <mergeCell ref="Y167:Z167"/>
    <mergeCell ref="Y169:Z169"/>
    <mergeCell ref="F138:V138"/>
    <mergeCell ref="F139:V139"/>
    <mergeCell ref="F140:V140"/>
    <mergeCell ref="B174:AL177"/>
    <mergeCell ref="AH147:AK147"/>
    <mergeCell ref="Z147:AC147"/>
    <mergeCell ref="Z140:AC140"/>
    <mergeCell ref="AH140:AK140"/>
    <mergeCell ref="AC163:AI163"/>
    <mergeCell ref="AC157:AI157"/>
    <mergeCell ref="AC165:AI165"/>
    <mergeCell ref="AC167:AI167"/>
    <mergeCell ref="AE148:AK148"/>
    <mergeCell ref="AD125:AF125"/>
    <mergeCell ref="AD124:AF124"/>
    <mergeCell ref="AD123:AF123"/>
    <mergeCell ref="AD122:AF122"/>
    <mergeCell ref="AV6:BI7"/>
    <mergeCell ref="E182:Y182"/>
    <mergeCell ref="E183:I183"/>
    <mergeCell ref="AC185:AG185"/>
    <mergeCell ref="M97:P97"/>
    <mergeCell ref="AG108:AK108"/>
    <mergeCell ref="F145:V145"/>
    <mergeCell ref="F146:V146"/>
    <mergeCell ref="E30:G30"/>
    <mergeCell ref="G14:I14"/>
    <mergeCell ref="G15:I15"/>
    <mergeCell ref="G16:I16"/>
    <mergeCell ref="G17:I17"/>
    <mergeCell ref="AA14:AC14"/>
    <mergeCell ref="AA15:AC15"/>
    <mergeCell ref="AA16:AC16"/>
    <mergeCell ref="AA17:AC17"/>
    <mergeCell ref="AE93:AF93"/>
    <mergeCell ref="AE94:AF94"/>
    <mergeCell ref="Q89:R89"/>
    <mergeCell ref="G92:J92"/>
    <mergeCell ref="M91:P91"/>
    <mergeCell ref="B91:D91"/>
    <mergeCell ref="AG91:AJ91"/>
    <mergeCell ref="AK93:AL93"/>
    <mergeCell ref="AK94:AL94"/>
    <mergeCell ref="K91:L91"/>
    <mergeCell ref="E178:Y178"/>
    <mergeCell ref="AC169:AI169"/>
    <mergeCell ref="Y171:Z171"/>
    <mergeCell ref="AC171:AI171"/>
    <mergeCell ref="AG154:AK154"/>
    <mergeCell ref="AH116:AK116"/>
    <mergeCell ref="AH114:AK114"/>
    <mergeCell ref="AH113:AK113"/>
    <mergeCell ref="I113:K113"/>
    <mergeCell ref="I125:K125"/>
    <mergeCell ref="I124:K124"/>
    <mergeCell ref="AH115:AK115"/>
    <mergeCell ref="M119:O119"/>
    <mergeCell ref="U123:W123"/>
    <mergeCell ref="U122:W122"/>
    <mergeCell ref="U121:W121"/>
    <mergeCell ref="U120:W120"/>
    <mergeCell ref="AE95:AF95"/>
    <mergeCell ref="G95:J95"/>
    <mergeCell ref="K96:L96"/>
    <mergeCell ref="G97:J97"/>
    <mergeCell ref="B97:D97"/>
    <mergeCell ref="B106:H106"/>
    <mergeCell ref="AE97:AF97"/>
    <mergeCell ref="E31:G31"/>
    <mergeCell ref="E32:G32"/>
    <mergeCell ref="N31:P31"/>
    <mergeCell ref="N32:P32"/>
    <mergeCell ref="V93:X93"/>
    <mergeCell ref="V94:X94"/>
    <mergeCell ref="G93:J93"/>
    <mergeCell ref="G91:J91"/>
    <mergeCell ref="K90:L90"/>
    <mergeCell ref="X75:Y75"/>
    <mergeCell ref="A71:AL71"/>
    <mergeCell ref="B85:D85"/>
    <mergeCell ref="G85:J85"/>
    <mergeCell ref="G86:J86"/>
    <mergeCell ref="M87:P87"/>
    <mergeCell ref="G90:J90"/>
    <mergeCell ref="V86:X86"/>
    <mergeCell ref="C112:D112"/>
    <mergeCell ref="C113:D113"/>
    <mergeCell ref="Q113:S113"/>
    <mergeCell ref="AA94:AD94"/>
    <mergeCell ref="AA92:AD92"/>
    <mergeCell ref="AA93:AD93"/>
    <mergeCell ref="V97:X97"/>
    <mergeCell ref="Q92:R92"/>
    <mergeCell ref="Q93:R93"/>
    <mergeCell ref="K97:L97"/>
    <mergeCell ref="Q112:S112"/>
    <mergeCell ref="K92:L92"/>
    <mergeCell ref="Q97:R97"/>
    <mergeCell ref="U113:W113"/>
    <mergeCell ref="R106:U106"/>
    <mergeCell ref="A110:AL110"/>
    <mergeCell ref="AH111:AK111"/>
    <mergeCell ref="AG97:AJ97"/>
    <mergeCell ref="B95:D95"/>
    <mergeCell ref="AG95:AJ95"/>
    <mergeCell ref="AG107:AK107"/>
    <mergeCell ref="AK95:AL95"/>
    <mergeCell ref="AK96:AL96"/>
    <mergeCell ref="AK97:AL97"/>
    <mergeCell ref="I114:K114"/>
    <mergeCell ref="I112:K112"/>
    <mergeCell ref="Y123:AB123"/>
    <mergeCell ref="Y122:AB122"/>
    <mergeCell ref="U111:W111"/>
    <mergeCell ref="Q111:S111"/>
    <mergeCell ref="M111:O111"/>
    <mergeCell ref="U112:W112"/>
    <mergeCell ref="I117:K117"/>
    <mergeCell ref="I116:K116"/>
    <mergeCell ref="M112:O112"/>
    <mergeCell ref="U116:W116"/>
    <mergeCell ref="U117:W117"/>
    <mergeCell ref="M117:O117"/>
    <mergeCell ref="M116:O116"/>
    <mergeCell ref="I115:K115"/>
    <mergeCell ref="Q114:S114"/>
    <mergeCell ref="Q115:S115"/>
    <mergeCell ref="Q116:S116"/>
    <mergeCell ref="U114:W114"/>
    <mergeCell ref="Q123:S123"/>
    <mergeCell ref="Q122:S122"/>
    <mergeCell ref="M120:O120"/>
    <mergeCell ref="I122:K122"/>
    <mergeCell ref="C116:D116"/>
    <mergeCell ref="AE149:AI149"/>
    <mergeCell ref="F141:V141"/>
    <mergeCell ref="F147:V147"/>
    <mergeCell ref="C125:D125"/>
    <mergeCell ref="I119:K119"/>
    <mergeCell ref="I123:K123"/>
    <mergeCell ref="C117:D117"/>
    <mergeCell ref="C124:D124"/>
    <mergeCell ref="AH119:AK119"/>
    <mergeCell ref="AH120:AK120"/>
    <mergeCell ref="AH121:AK121"/>
    <mergeCell ref="AH122:AK122"/>
    <mergeCell ref="Q117:S117"/>
    <mergeCell ref="U119:W119"/>
    <mergeCell ref="Q119:S119"/>
    <mergeCell ref="F148:V148"/>
    <mergeCell ref="M121:O121"/>
    <mergeCell ref="AH125:AK125"/>
    <mergeCell ref="U125:W125"/>
    <mergeCell ref="U124:W124"/>
    <mergeCell ref="Q125:S125"/>
    <mergeCell ref="C120:D120"/>
    <mergeCell ref="C121:D121"/>
    <mergeCell ref="AE6:AK6"/>
    <mergeCell ref="Q124:S124"/>
    <mergeCell ref="Q120:S120"/>
    <mergeCell ref="Y121:AB121"/>
    <mergeCell ref="AE96:AF96"/>
    <mergeCell ref="AK85:AL85"/>
    <mergeCell ref="AK86:AL86"/>
    <mergeCell ref="AK87:AL87"/>
    <mergeCell ref="AK88:AL88"/>
    <mergeCell ref="AK89:AL89"/>
    <mergeCell ref="AK90:AL90"/>
    <mergeCell ref="AK91:AL91"/>
    <mergeCell ref="AK92:AL92"/>
    <mergeCell ref="AE89:AF89"/>
    <mergeCell ref="AE90:AF90"/>
    <mergeCell ref="AE92:AF92"/>
    <mergeCell ref="AG92:AJ92"/>
    <mergeCell ref="AG93:AJ93"/>
    <mergeCell ref="AG94:AJ94"/>
    <mergeCell ref="AG90:AJ90"/>
    <mergeCell ref="AD121:AF121"/>
    <mergeCell ref="Y120:AB120"/>
    <mergeCell ref="Q95:R95"/>
    <mergeCell ref="Q96:R96"/>
  </mergeCells>
  <conditionalFormatting sqref="B128:AK135">
    <cfRule type="cellIs" priority="75" stopIfTrue="1" operator="greaterThan">
      <formula>0</formula>
    </cfRule>
    <cfRule type="expression" dxfId="117" priority="76">
      <formula>$AM$189&gt;0</formula>
    </cfRule>
  </conditionalFormatting>
  <conditionalFormatting sqref="D159 F159">
    <cfRule type="expression" dxfId="116" priority="39">
      <formula>ISBLANK(D159)</formula>
    </cfRule>
  </conditionalFormatting>
  <conditionalFormatting sqref="D161 F161">
    <cfRule type="expression" dxfId="115" priority="70">
      <formula>ISBLANK(D161)</formula>
    </cfRule>
  </conditionalFormatting>
  <conditionalFormatting sqref="D163 F163">
    <cfRule type="expression" dxfId="114" priority="65">
      <formula>ISBLANK(D163)</formula>
    </cfRule>
  </conditionalFormatting>
  <conditionalFormatting sqref="D165 F165">
    <cfRule type="expression" dxfId="113" priority="62">
      <formula>ISBLANK(D165)</formula>
    </cfRule>
  </conditionalFormatting>
  <conditionalFormatting sqref="D167 F167">
    <cfRule type="expression" dxfId="112" priority="59">
      <formula>ISBLANK(D167)</formula>
    </cfRule>
  </conditionalFormatting>
  <conditionalFormatting sqref="D169 F169">
    <cfRule type="expression" dxfId="111" priority="56">
      <formula>ISBLANK(D169)</formula>
    </cfRule>
  </conditionalFormatting>
  <conditionalFormatting sqref="D171 F171">
    <cfRule type="expression" dxfId="110" priority="36">
      <formula>ISBLANK(D171)</formula>
    </cfRule>
  </conditionalFormatting>
  <conditionalFormatting sqref="D58:Z58">
    <cfRule type="cellIs" dxfId="109" priority="106" operator="equal">
      <formula>0</formula>
    </cfRule>
  </conditionalFormatting>
  <conditionalFormatting sqref="D107:Z107">
    <cfRule type="cellIs" dxfId="108" priority="104" operator="equal">
      <formula>0</formula>
    </cfRule>
  </conditionalFormatting>
  <conditionalFormatting sqref="D153:Z153">
    <cfRule type="cellIs" dxfId="107" priority="99" operator="equal">
      <formula>0</formula>
    </cfRule>
  </conditionalFormatting>
  <conditionalFormatting sqref="D202:Z202">
    <cfRule type="cellIs" dxfId="106" priority="11" operator="equal">
      <formula>0</formula>
    </cfRule>
  </conditionalFormatting>
  <conditionalFormatting sqref="E73:E74">
    <cfRule type="expression" priority="7" stopIfTrue="1">
      <formula>$AL$62=2</formula>
    </cfRule>
    <cfRule type="cellIs" priority="8" stopIfTrue="1" operator="greaterThan">
      <formula>0</formula>
    </cfRule>
    <cfRule type="expression" dxfId="105" priority="9">
      <formula>#REF!</formula>
    </cfRule>
  </conditionalFormatting>
  <conditionalFormatting sqref="E178:E179">
    <cfRule type="expression" dxfId="104" priority="43">
      <formula>ISBLANK(E178)</formula>
    </cfRule>
  </conditionalFormatting>
  <conditionalFormatting sqref="E180:Y180 E181:E183">
    <cfRule type="expression" dxfId="103" priority="41">
      <formula>ISBLANK(E180)</formula>
    </cfRule>
  </conditionalFormatting>
  <conditionalFormatting sqref="E7:Z8 AF8">
    <cfRule type="cellIs" dxfId="102" priority="93" operator="equal">
      <formula>0</formula>
    </cfRule>
  </conditionalFormatting>
  <conditionalFormatting sqref="F138:F142 Z140 AH140">
    <cfRule type="expression" dxfId="101" priority="116">
      <formula>ISBLANK(F138)</formula>
    </cfRule>
  </conditionalFormatting>
  <conditionalFormatting sqref="F145:F149 Z147 AH147 AE148:AE149">
    <cfRule type="expression" priority="114" stopIfTrue="1">
      <formula>$AN$144=2</formula>
    </cfRule>
    <cfRule type="expression" dxfId="100" priority="202">
      <formula>ISBLANK(F145)</formula>
    </cfRule>
  </conditionalFormatting>
  <conditionalFormatting sqref="F159 D159">
    <cfRule type="expression" priority="38" stopIfTrue="1">
      <formula>$AM$159=2</formula>
    </cfRule>
  </conditionalFormatting>
  <conditionalFormatting sqref="F159">
    <cfRule type="expression" dxfId="99" priority="37">
      <formula>$AN$159=2</formula>
    </cfRule>
  </conditionalFormatting>
  <conditionalFormatting sqref="F161 D161">
    <cfRule type="expression" priority="69" stopIfTrue="1">
      <formula>$AM$161=2</formula>
    </cfRule>
  </conditionalFormatting>
  <conditionalFormatting sqref="F161">
    <cfRule type="expression" dxfId="98" priority="68">
      <formula>$AN$161=2</formula>
    </cfRule>
  </conditionalFormatting>
  <conditionalFormatting sqref="F163 D163">
    <cfRule type="expression" priority="64" stopIfTrue="1">
      <formula>$AM$163=2</formula>
    </cfRule>
  </conditionalFormatting>
  <conditionalFormatting sqref="F163">
    <cfRule type="expression" dxfId="97" priority="63">
      <formula>$AN$163=2</formula>
    </cfRule>
  </conditionalFormatting>
  <conditionalFormatting sqref="F165 D165">
    <cfRule type="expression" priority="61" stopIfTrue="1">
      <formula>$AM$165=2</formula>
    </cfRule>
  </conditionalFormatting>
  <conditionalFormatting sqref="F165">
    <cfRule type="expression" dxfId="96" priority="60">
      <formula>$AN$165=2</formula>
    </cfRule>
  </conditionalFormatting>
  <conditionalFormatting sqref="F167 D167">
    <cfRule type="expression" priority="58" stopIfTrue="1">
      <formula>$AM$167=2</formula>
    </cfRule>
  </conditionalFormatting>
  <conditionalFormatting sqref="F167">
    <cfRule type="expression" dxfId="95" priority="57">
      <formula>$AN$167=2</formula>
    </cfRule>
  </conditionalFormatting>
  <conditionalFormatting sqref="F169 D169">
    <cfRule type="expression" priority="55" stopIfTrue="1">
      <formula>$AM$169=2</formula>
    </cfRule>
  </conditionalFormatting>
  <conditionalFormatting sqref="F169">
    <cfRule type="expression" dxfId="94" priority="54">
      <formula>$AN$169=2</formula>
    </cfRule>
  </conditionalFormatting>
  <conditionalFormatting sqref="F171 D171">
    <cfRule type="expression" priority="35" stopIfTrue="1">
      <formula>$AM$171=2</formula>
    </cfRule>
  </conditionalFormatting>
  <conditionalFormatting sqref="F171">
    <cfRule type="expression" dxfId="93" priority="34">
      <formula>$AN$171=2</formula>
    </cfRule>
  </conditionalFormatting>
  <conditionalFormatting sqref="G10 N10 Z10 AH10">
    <cfRule type="expression" dxfId="92" priority="112">
      <formula>ISBLANK(G10)</formula>
    </cfRule>
  </conditionalFormatting>
  <conditionalFormatting sqref="G84:J97 M84:P97 AA84:AD97 AG84:AJ97">
    <cfRule type="expression" dxfId="91" priority="29">
      <formula>$AN$14=1</formula>
    </cfRule>
    <cfRule type="expression" dxfId="90" priority="30">
      <formula>$AN$14=2</formula>
    </cfRule>
  </conditionalFormatting>
  <conditionalFormatting sqref="I120:I125">
    <cfRule type="cellIs" dxfId="89" priority="267" operator="notEqual">
      <formula>$I112</formula>
    </cfRule>
    <cfRule type="expression" dxfId="88" priority="266" stopIfTrue="1">
      <formula>ISBLANK(I120)</formula>
    </cfRule>
  </conditionalFormatting>
  <conditionalFormatting sqref="K84:L97 Q84:R97 AE84:AF97 AK84:AL97">
    <cfRule type="expression" dxfId="86" priority="31">
      <formula>$AM$83=2</formula>
    </cfRule>
  </conditionalFormatting>
  <conditionalFormatting sqref="M75 P75">
    <cfRule type="expression" dxfId="85" priority="5">
      <formula>#REF!=1</formula>
    </cfRule>
  </conditionalFormatting>
  <conditionalFormatting sqref="M120:M125">
    <cfRule type="cellIs" dxfId="84" priority="1339" operator="notEqual">
      <formula>$M112</formula>
    </cfRule>
    <cfRule type="expression" dxfId="83" priority="1338" stopIfTrue="1">
      <formula>ISBLANK(M120)</formula>
    </cfRule>
  </conditionalFormatting>
  <conditionalFormatting sqref="O181 W181">
    <cfRule type="expression" dxfId="82" priority="40">
      <formula>ISBLANK(O181)</formula>
    </cfRule>
  </conditionalFormatting>
  <conditionalFormatting sqref="P75">
    <cfRule type="expression" dxfId="81" priority="6">
      <formula>#REF!=2</formula>
    </cfRule>
  </conditionalFormatting>
  <conditionalFormatting sqref="Q112:Q117 U112:U117 AD112:AD117">
    <cfRule type="expression" dxfId="80" priority="201">
      <formula>ISBLANK(Q112)</formula>
    </cfRule>
  </conditionalFormatting>
  <conditionalFormatting sqref="U120:U123">
    <cfRule type="cellIs" dxfId="79" priority="259" operator="greaterThan">
      <formula>$Y$65</formula>
    </cfRule>
  </conditionalFormatting>
  <conditionalFormatting sqref="U124">
    <cfRule type="expression" dxfId="78" priority="111">
      <formula>$AO$124&lt;1</formula>
    </cfRule>
  </conditionalFormatting>
  <conditionalFormatting sqref="U125">
    <cfRule type="expression" dxfId="77" priority="25">
      <formula>$AO$125&lt;1</formula>
    </cfRule>
  </conditionalFormatting>
  <conditionalFormatting sqref="V84:X84">
    <cfRule type="cellIs" priority="78" operator="greaterThan">
      <formula>0</formula>
    </cfRule>
    <cfRule type="expression" dxfId="76" priority="79">
      <formula>ISBLANK($V$84)</formula>
    </cfRule>
  </conditionalFormatting>
  <conditionalFormatting sqref="Y25 AB25">
    <cfRule type="expression" dxfId="75" priority="939">
      <formula>$AM$25=1</formula>
    </cfRule>
  </conditionalFormatting>
  <conditionalFormatting sqref="Y29 AH32 W37:W38 M112:M117">
    <cfRule type="expression" dxfId="74" priority="976">
      <formula>ISBLANK(M29)</formula>
    </cfRule>
  </conditionalFormatting>
  <conditionalFormatting sqref="Y32">
    <cfRule type="expression" dxfId="73" priority="178">
      <formula>ISBLANK(Y32)</formula>
    </cfRule>
  </conditionalFormatting>
  <conditionalFormatting sqref="Y34 AC34">
    <cfRule type="expression" dxfId="72" priority="940">
      <formula>$AM$34=1</formula>
    </cfRule>
  </conditionalFormatting>
  <conditionalFormatting sqref="Y63:Y65 AH63:AH65">
    <cfRule type="expression" dxfId="71" priority="157">
      <formula>ISBLANK(Y63)</formula>
    </cfRule>
  </conditionalFormatting>
  <conditionalFormatting sqref="Y112:Y117 Y120:Y125 AD120:AD125">
    <cfRule type="cellIs" dxfId="70" priority="14" operator="greaterThan">
      <formula>$AP$110</formula>
    </cfRule>
  </conditionalFormatting>
  <conditionalFormatting sqref="Y112:Y117">
    <cfRule type="expression" dxfId="69" priority="13">
      <formula>ISBLANK(Y112)</formula>
    </cfRule>
  </conditionalFormatting>
  <conditionalFormatting sqref="Y120:Y125">
    <cfRule type="expression" dxfId="68" priority="12" stopIfTrue="1">
      <formula>ISBLANK(Y120)</formula>
    </cfRule>
  </conditionalFormatting>
  <conditionalFormatting sqref="Y144">
    <cfRule type="expression" dxfId="67" priority="117">
      <formula>ISBLANK(Y144)</formula>
    </cfRule>
    <cfRule type="expression" priority="83" stopIfTrue="1">
      <formula>$AM$144=2</formula>
    </cfRule>
  </conditionalFormatting>
  <conditionalFormatting sqref="Y161 AC161">
    <cfRule type="cellIs" priority="66" stopIfTrue="1" operator="greaterThan">
      <formula>0</formula>
    </cfRule>
    <cfRule type="expression" dxfId="66" priority="67">
      <formula>$AO$161=2</formula>
    </cfRule>
  </conditionalFormatting>
  <conditionalFormatting sqref="Y163 AC163">
    <cfRule type="cellIs" priority="52" stopIfTrue="1" operator="greaterThan">
      <formula>0</formula>
    </cfRule>
    <cfRule type="expression" dxfId="65" priority="53">
      <formula>$AO$163=2</formula>
    </cfRule>
  </conditionalFormatting>
  <conditionalFormatting sqref="Y165 AC165">
    <cfRule type="expression" dxfId="64" priority="51">
      <formula>$AO$165=2</formula>
    </cfRule>
    <cfRule type="cellIs" priority="50" stopIfTrue="1" operator="greaterThan">
      <formula>0</formula>
    </cfRule>
  </conditionalFormatting>
  <conditionalFormatting sqref="Y167 AC167">
    <cfRule type="cellIs" priority="48" stopIfTrue="1" operator="greaterThan">
      <formula>0</formula>
    </cfRule>
    <cfRule type="expression" dxfId="63" priority="49">
      <formula>$AO$167=2</formula>
    </cfRule>
  </conditionalFormatting>
  <conditionalFormatting sqref="Y169 AC169">
    <cfRule type="expression" dxfId="62" priority="47">
      <formula>$AO$169=2</formula>
    </cfRule>
    <cfRule type="cellIs" priority="46" stopIfTrue="1" operator="greaterThan">
      <formula>0</formula>
    </cfRule>
  </conditionalFormatting>
  <conditionalFormatting sqref="Y171 AC171">
    <cfRule type="cellIs" priority="32" stopIfTrue="1" operator="greaterThan">
      <formula>0</formula>
    </cfRule>
    <cfRule type="expression" dxfId="61" priority="33">
      <formula>$AO$171=2</formula>
    </cfRule>
  </conditionalFormatting>
  <conditionalFormatting sqref="Y30:AA30">
    <cfRule type="expression" priority="88" stopIfTrue="1">
      <formula>$AM$31=2</formula>
    </cfRule>
    <cfRule type="cellIs" priority="89" stopIfTrue="1" operator="greaterThan">
      <formula>0</formula>
    </cfRule>
    <cfRule type="expression" dxfId="60" priority="90">
      <formula>ISBLANK(Y30)</formula>
    </cfRule>
  </conditionalFormatting>
  <conditionalFormatting sqref="Y31:AA31 AH31:AJ31">
    <cfRule type="expression" dxfId="59" priority="87">
      <formula>ISBLANK(Y31)</formula>
    </cfRule>
    <cfRule type="cellIs" priority="86" stopIfTrue="1" operator="greaterThan">
      <formula>0</formula>
    </cfRule>
    <cfRule type="expression" priority="85" stopIfTrue="1">
      <formula>$AM$30=2</formula>
    </cfRule>
  </conditionalFormatting>
  <conditionalFormatting sqref="AA14:AA19">
    <cfRule type="expression" dxfId="58" priority="103">
      <formula>ISBLANK(AA14)</formula>
    </cfRule>
  </conditionalFormatting>
  <conditionalFormatting sqref="AA21 AE21">
    <cfRule type="expression" dxfId="57" priority="935">
      <formula>$AN$21=1</formula>
    </cfRule>
  </conditionalFormatting>
  <conditionalFormatting sqref="AA37 AD37 AI37">
    <cfRule type="expression" dxfId="56" priority="945">
      <formula>$AM$37=2</formula>
    </cfRule>
  </conditionalFormatting>
  <conditionalFormatting sqref="AA38 AI38">
    <cfRule type="expression" dxfId="55" priority="947">
      <formula>$AM$38=2</formula>
    </cfRule>
  </conditionalFormatting>
  <conditionalFormatting sqref="AA42 AI42">
    <cfRule type="expression" dxfId="54" priority="951">
      <formula>$AM$42=2</formula>
    </cfRule>
  </conditionalFormatting>
  <conditionalFormatting sqref="AA43 AI43">
    <cfRule type="expression" dxfId="53" priority="955">
      <formula>$AM$43=2</formula>
    </cfRule>
  </conditionalFormatting>
  <conditionalFormatting sqref="AA45 AI45">
    <cfRule type="expression" dxfId="52" priority="959">
      <formula>$AM$45=2</formula>
    </cfRule>
  </conditionalFormatting>
  <conditionalFormatting sqref="AA45:AA48 AI45:AI48">
    <cfRule type="cellIs" priority="958" stopIfTrue="1" operator="greaterThan">
      <formula>0</formula>
    </cfRule>
  </conditionalFormatting>
  <conditionalFormatting sqref="AA46 AI46">
    <cfRule type="expression" dxfId="51" priority="963">
      <formula>$AM$46=2</formula>
    </cfRule>
  </conditionalFormatting>
  <conditionalFormatting sqref="AA47 AI47">
    <cfRule type="expression" dxfId="50" priority="967">
      <formula>$AM$47=2</formula>
    </cfRule>
  </conditionalFormatting>
  <conditionalFormatting sqref="AA48 AI48">
    <cfRule type="expression" dxfId="49" priority="971">
      <formula>$AM$48=2</formula>
    </cfRule>
  </conditionalFormatting>
  <conditionalFormatting sqref="AA84 AG84">
    <cfRule type="expression" dxfId="48" priority="1028">
      <formula>$AO$84=2</formula>
    </cfRule>
  </conditionalFormatting>
  <conditionalFormatting sqref="AA84">
    <cfRule type="expression" priority="110" stopIfTrue="1">
      <formula>$AM$84=1</formula>
    </cfRule>
  </conditionalFormatting>
  <conditionalFormatting sqref="AA85 AG85">
    <cfRule type="expression" dxfId="47" priority="1032">
      <formula>$AO$85=2</formula>
    </cfRule>
  </conditionalFormatting>
  <conditionalFormatting sqref="AA86 AG86">
    <cfRule type="expression" dxfId="46" priority="1036">
      <formula>$AO$86=2</formula>
    </cfRule>
  </conditionalFormatting>
  <conditionalFormatting sqref="AA87 AG87">
    <cfRule type="expression" dxfId="45" priority="1040">
      <formula>$AO$87=2</formula>
    </cfRule>
  </conditionalFormatting>
  <conditionalFormatting sqref="AA88 AG88">
    <cfRule type="expression" dxfId="44" priority="1044">
      <formula>$AO$88=2</formula>
    </cfRule>
  </conditionalFormatting>
  <conditionalFormatting sqref="AA89 AG89">
    <cfRule type="expression" dxfId="43" priority="1048">
      <formula>$AO$89=2</formula>
    </cfRule>
  </conditionalFormatting>
  <conditionalFormatting sqref="AA90 AG90">
    <cfRule type="expression" dxfId="42" priority="1052">
      <formula>$AO$90=2</formula>
    </cfRule>
  </conditionalFormatting>
  <conditionalFormatting sqref="AA91">
    <cfRule type="expression" dxfId="41" priority="1068">
      <formula>$AO$91=2</formula>
    </cfRule>
  </conditionalFormatting>
  <conditionalFormatting sqref="AA92">
    <cfRule type="expression" dxfId="40" priority="1072">
      <formula>$AO$92=2</formula>
    </cfRule>
  </conditionalFormatting>
  <conditionalFormatting sqref="AA93">
    <cfRule type="expression" dxfId="39" priority="1076">
      <formula>$AO$93=2</formula>
    </cfRule>
  </conditionalFormatting>
  <conditionalFormatting sqref="AA94 AG94">
    <cfRule type="expression" dxfId="38" priority="1080">
      <formula>$AO$94=2</formula>
    </cfRule>
  </conditionalFormatting>
  <conditionalFormatting sqref="AA95 AG95">
    <cfRule type="expression" dxfId="37" priority="1084">
      <formula>$AO$95=2</formula>
    </cfRule>
  </conditionalFormatting>
  <conditionalFormatting sqref="AA96 AG96">
    <cfRule type="expression" dxfId="36" priority="1088">
      <formula>$AO$96=2</formula>
    </cfRule>
  </conditionalFormatting>
  <conditionalFormatting sqref="AA97 AG97">
    <cfRule type="expression" dxfId="35" priority="1092">
      <formula>$AO$97=2</formula>
    </cfRule>
  </conditionalFormatting>
  <conditionalFormatting sqref="AA44:AC44 AI44:AK44">
    <cfRule type="cellIs" priority="974" stopIfTrue="1" operator="greaterThan">
      <formula>0</formula>
    </cfRule>
    <cfRule type="expression" dxfId="34" priority="975">
      <formula>$AM$44=2</formula>
    </cfRule>
  </conditionalFormatting>
  <conditionalFormatting sqref="AA23:AD23">
    <cfRule type="cellIs" priority="937" stopIfTrue="1" operator="greaterThan">
      <formula>0</formula>
    </cfRule>
    <cfRule type="expression" dxfId="33" priority="938">
      <formula>$AM$21=1</formula>
    </cfRule>
  </conditionalFormatting>
  <conditionalFormatting sqref="AA72:AI72 X73:Y73 AE73:AF73 X75:Y75">
    <cfRule type="expression" dxfId="32" priority="4">
      <formula>ISBLANK(X72)</formula>
    </cfRule>
  </conditionalFormatting>
  <conditionalFormatting sqref="AC40 Y40">
    <cfRule type="expression" dxfId="31" priority="942">
      <formula>$AM$40=1</formula>
    </cfRule>
  </conditionalFormatting>
  <conditionalFormatting sqref="AC40">
    <cfRule type="expression" dxfId="30" priority="84">
      <formula>$AN$40=2</formula>
    </cfRule>
  </conditionalFormatting>
  <conditionalFormatting sqref="AC185">
    <cfRule type="expression" dxfId="29" priority="42">
      <formula>ISBLANK(AC185)</formula>
    </cfRule>
  </conditionalFormatting>
  <conditionalFormatting sqref="AD37 AA37:AA38 AI37:AI38">
    <cfRule type="cellIs" priority="944" stopIfTrue="1" operator="greaterThan">
      <formula>0</formula>
    </cfRule>
  </conditionalFormatting>
  <conditionalFormatting sqref="AD68:AD69">
    <cfRule type="expression" dxfId="28" priority="197">
      <formula>ISBLANK(AD68)</formula>
    </cfRule>
  </conditionalFormatting>
  <conditionalFormatting sqref="AD78">
    <cfRule type="cellIs" dxfId="27" priority="257" operator="lessThan">
      <formula>$J78</formula>
    </cfRule>
    <cfRule type="expression" dxfId="26" priority="256">
      <formula>ISBLANK(AD78)</formula>
    </cfRule>
  </conditionalFormatting>
  <conditionalFormatting sqref="AD112:AD117">
    <cfRule type="cellIs" dxfId="25" priority="1253" operator="greaterThan">
      <formula>$AP$110</formula>
    </cfRule>
  </conditionalFormatting>
  <conditionalFormatting sqref="AD120:AD125 Q120:Q125 U120:U125">
    <cfRule type="expression" dxfId="24" priority="24" stopIfTrue="1">
      <formula>ISBLANK(Q120)</formula>
    </cfRule>
  </conditionalFormatting>
  <conditionalFormatting sqref="AD79:AF79">
    <cfRule type="expression" dxfId="23" priority="74">
      <formula>ISBLANK(AD79)</formula>
    </cfRule>
  </conditionalFormatting>
  <conditionalFormatting sqref="AD68:AG68">
    <cfRule type="expression" dxfId="22" priority="16">
      <formula>$AS$68=3</formula>
    </cfRule>
  </conditionalFormatting>
  <conditionalFormatting sqref="AD69:AG69">
    <cfRule type="expression" dxfId="21" priority="15">
      <formula>$AS$69=3</formula>
    </cfRule>
  </conditionalFormatting>
  <conditionalFormatting sqref="AE142">
    <cfRule type="expression" dxfId="20" priority="115">
      <formula>ISBLANK(AE142)</formula>
    </cfRule>
  </conditionalFormatting>
  <conditionalFormatting sqref="AE6:AK6">
    <cfRule type="cellIs" dxfId="19" priority="1" operator="equal">
      <formula>0</formula>
    </cfRule>
  </conditionalFormatting>
  <conditionalFormatting sqref="AF7">
    <cfRule type="expression" dxfId="18" priority="72">
      <formula>ISBLANK(AF7)</formula>
    </cfRule>
  </conditionalFormatting>
  <conditionalFormatting sqref="AG25 AJ25">
    <cfRule type="expression" dxfId="17" priority="928">
      <formula>$AN$25=1</formula>
    </cfRule>
  </conditionalFormatting>
  <conditionalFormatting sqref="AG84">
    <cfRule type="expression" priority="156" stopIfTrue="1">
      <formula>$AN$84=1</formula>
    </cfRule>
  </conditionalFormatting>
  <conditionalFormatting sqref="AG84:AG97 AA84:AA97 AA42:AA43 AI42:AI43">
    <cfRule type="cellIs" priority="950" stopIfTrue="1" operator="greaterThan">
      <formula>0</formula>
    </cfRule>
  </conditionalFormatting>
  <conditionalFormatting sqref="AG91">
    <cfRule type="expression" dxfId="16" priority="1056">
      <formula>$AO$91=2</formula>
    </cfRule>
  </conditionalFormatting>
  <conditionalFormatting sqref="AG92">
    <cfRule type="expression" dxfId="15" priority="1060">
      <formula>$AO$92=2</formula>
    </cfRule>
  </conditionalFormatting>
  <conditionalFormatting sqref="AG93">
    <cfRule type="expression" dxfId="14" priority="1064">
      <formula>$AO$93=2</formula>
    </cfRule>
  </conditionalFormatting>
  <conditionalFormatting sqref="AG58:AK59">
    <cfRule type="cellIs" dxfId="13" priority="92" operator="equal">
      <formula>0</formula>
    </cfRule>
  </conditionalFormatting>
  <conditionalFormatting sqref="AG107:AK108">
    <cfRule type="cellIs" dxfId="12" priority="91" operator="equal">
      <formula>0</formula>
    </cfRule>
  </conditionalFormatting>
  <conditionalFormatting sqref="AG153:AK154">
    <cfRule type="cellIs" dxfId="11" priority="82" operator="equal">
      <formula>0</formula>
    </cfRule>
  </conditionalFormatting>
  <conditionalFormatting sqref="AG202:AK203">
    <cfRule type="cellIs" dxfId="10" priority="10" operator="equal">
      <formula>0</formula>
    </cfRule>
  </conditionalFormatting>
  <conditionalFormatting sqref="AH29">
    <cfRule type="expression" dxfId="9" priority="179">
      <formula>ISBLANK(AH29)</formula>
    </cfRule>
  </conditionalFormatting>
  <conditionalFormatting sqref="AH112:AH117">
    <cfRule type="expression" dxfId="8" priority="19">
      <formula>$AN112=1</formula>
    </cfRule>
    <cfRule type="expression" dxfId="7" priority="20">
      <formula>$AO112=1</formula>
    </cfRule>
    <cfRule type="expression" dxfId="6" priority="18">
      <formula>$AM112=1</formula>
    </cfRule>
  </conditionalFormatting>
  <conditionalFormatting sqref="AH120:AH125">
    <cfRule type="expression" dxfId="5" priority="28">
      <formula>$AR120=1</formula>
    </cfRule>
    <cfRule type="expression" dxfId="4" priority="27">
      <formula>$AQ120=1</formula>
    </cfRule>
    <cfRule type="expression" dxfId="3" priority="26">
      <formula>$AS120=1</formula>
    </cfRule>
    <cfRule type="expression" dxfId="2" priority="17">
      <formula>ISBLANK(AH120)</formula>
    </cfRule>
  </conditionalFormatting>
  <conditionalFormatting sqref="AI75 AF75">
    <cfRule type="expression" dxfId="1" priority="3">
      <formula>$AN$75=1</formula>
    </cfRule>
  </conditionalFormatting>
  <conditionalFormatting sqref="AI75">
    <cfRule type="expression" dxfId="0" priority="2">
      <formula>$AO$75=2</formula>
    </cfRule>
  </conditionalFormatting>
  <dataValidations count="2">
    <dataValidation type="list" allowBlank="1" showInputMessage="1" showErrorMessage="1" sqref="AH63:AK63 AH29:AK29 W37:Y38 W42:Y48" xr:uid="{EFF34BD4-2D63-4A15-A0F4-ED4B04088EBB}">
      <formula1>Shape</formula1>
    </dataValidation>
    <dataValidation type="list" allowBlank="1" showInputMessage="1" showErrorMessage="1" sqref="Y29:AB29 Y63:AB63" xr:uid="{95FCC4B4-56CA-4569-99D6-198A1C4267E8}">
      <formula1>Material</formula1>
    </dataValidation>
  </dataValidations>
  <pageMargins left="0.2" right="0.2" top="0.5" bottom="0.25" header="0.3" footer="0.3"/>
  <pageSetup orientation="portrait" r:id="rId1"/>
  <rowBreaks count="4" manualBreakCount="4">
    <brk id="57" max="16383" man="1"/>
    <brk id="106" max="16383" man="1"/>
    <brk id="152" max="16383" man="1"/>
    <brk id="201" max="16383" man="1"/>
  </rowBreaks>
  <colBreaks count="1" manualBreakCount="1">
    <brk id="46"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3" id="{0D1D217B-B56F-4F5A-9201-0D9DB09550E1}">
            <xm:f>'Form 2B.1 - Design'!$AL$56=1</xm:f>
            <x14:dxf>
              <fill>
                <patternFill>
                  <bgColor theme="7" tint="0.59996337778862885"/>
                </patternFill>
              </fill>
            </x14:dxf>
          </x14:cfRule>
          <xm:sqref>K18:K19 AE18:AF19 K23:L23 AE23:AF23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1C0DC14-5C5B-497E-ADE8-E14CEC9C6FC0}">
          <x14:formula1>
            <xm:f>Tables!$D$2:$D$10</xm:f>
          </x14:formula1>
          <xm:sqref>E29</xm:sqref>
        </x14:dataValidation>
        <x14:dataValidation type="list" allowBlank="1" showInputMessage="1" showErrorMessage="1" xr:uid="{15328467-34E1-4429-BBED-E9EF3D4805F6}">
          <x14:formula1>
            <xm:f>Tables!$F$2:$F$7</xm:f>
          </x14:formula1>
          <xm:sqref>W39:Y39 Y172 Y170 Y168 Y166 Y164 Y162 Y155:Y160 W155:X172 H155:H158 H162 H164 H170 H168 H166 H172 H200:H201 H160 W150:Y152 W200:Y201 H150:H152 W243:Y243 H243 W105:Y106 H105:H106 H49:H60 W49:Y60</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88C617DE-4C26-4923-9948-F785E7BC4D18}">
          <x14:formula1>
            <xm:f>Tables!$B$8</xm:f>
          </x14:formula1>
          <xm:sqref>AF7:AK7 G10 N10 Z10 AH10 AA14:AC17 AA18:AD19 AA21 AE21 AA23:AD23 Y25 AB25 AG25 AJ25 Y30:AA32 AH31:AJ32 Y34 AC34 AA37:AC38 AE37:AG38 AI37:AK38 Y40 AC40 AA42:AC48 AE42:AG48 AI42:AK48 AH64:AJ65 Y64:AA65 AD68:AG69 X73:Y73 X75:Y75 AE73:AF73 AF75 AI75 AD78:AF79 V84:X97 AA84:AD97 AG84:AJ97 I120:K125 M120:O125 Q120:S125 U120:W125 Y120:AB125 AD120:AF125 AH120:AK125 B128:AK135 F138:V142 F145:V149 Z140:AC140 AH140:AK140 AE142:AI142 Y144 Z147:AC147 AH147:AK147 AE148:AK148 AE149:AI149 D159 F159 D161 F161 D163 F163 D165 F165 D167 F167 D169 F169 D171 F171 Y161:Z161 Y163:Z163 Y165:Z165 Y167:Z167 Y169:Z169 Y171:Z171 AC171:AI171 AC169:AI169 AC167:AI167 AC165:AI165 AC163:AI163 AC161:AI161 E178:Y180 E181:K181 O181:R181 W181:Y181 E182:Y182 E183:I183 AC185:AG185 AE6:AK6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License</vt:lpstr>
      <vt:lpstr>General Instructions</vt:lpstr>
      <vt:lpstr>Form 2B.1 - Design</vt:lpstr>
      <vt:lpstr>Form 2B.2 - Design Attachment</vt:lpstr>
      <vt:lpstr>Form 3B - As-built</vt:lpstr>
      <vt:lpstr>Material</vt:lpstr>
      <vt:lpstr>'Form 2B.1 - Design'!Print_Area</vt:lpstr>
      <vt:lpstr>'Form 2B.2 - Design Attachment'!Print_Area</vt:lpstr>
      <vt:lpstr>'Form 3B - As-built'!Print_Area</vt:lpstr>
      <vt:lpstr>'Form 2B.1 - Design'!Print_Titles</vt:lpstr>
      <vt:lpstr>'Form 2B.2 - Design Attachment'!Print_Titles</vt:lpstr>
      <vt:lpstr>'Form 3B - As-built'!Print_Titles</vt:lpstr>
      <vt:lpstr>Shape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Dewayne Smith</dc:creator>
  <cp:lastModifiedBy>Dewayne Smith</cp:lastModifiedBy>
  <cp:lastPrinted>2025-10-10T13:42:31Z</cp:lastPrinted>
  <dcterms:created xsi:type="dcterms:W3CDTF">2021-11-21T16:55:43Z</dcterms:created>
  <dcterms:modified xsi:type="dcterms:W3CDTF">2025-10-19T14:54:00Z</dcterms:modified>
</cp:coreProperties>
</file>