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C:\HYDRO\PROJECTS\Baldwin County\01 - Post Const Forms\2025-10-01 Published\"/>
    </mc:Choice>
  </mc:AlternateContent>
  <xr:revisionPtr revIDLastSave="0" documentId="13_ncr:1_{6EDFC83A-78E2-409B-B00D-52E159A9EE63}" xr6:coauthVersionLast="47" xr6:coauthVersionMax="47" xr10:uidLastSave="{00000000-0000-0000-0000-000000000000}"/>
  <workbookProtection workbookAlgorithmName="SHA-512" workbookHashValue="7RrWzKsqQlm2EkiMJW7J/GknXS6YH4wel6uMx6chH2lcxmUyCno8xHns0JsLAGivNvJIDHGvw2h9BbVLm2RNCg==" workbookSaltValue="HOfkr2hc5bHBeFfzUyTU1g==" workbookSpinCount="100000" lockStructure="1"/>
  <bookViews>
    <workbookView xWindow="-15060" yWindow="-16320" windowWidth="29040" windowHeight="15840" firstSheet="1" activeTab="1" xr2:uid="{994EC860-6224-46C4-B304-9868EEFCD4CE}"/>
  </bookViews>
  <sheets>
    <sheet name="Tables" sheetId="2" state="veryHidden" r:id="rId1"/>
    <sheet name="License" sheetId="4" r:id="rId2"/>
    <sheet name="General Instructions" sheetId="9" r:id="rId3"/>
    <sheet name="Form 2F.1 - Design" sheetId="5" r:id="rId4"/>
    <sheet name="Form 2F.2 - Design Attachment" sheetId="8" r:id="rId5"/>
    <sheet name="Form 3F - As-built" sheetId="6" r:id="rId6"/>
  </sheets>
  <definedNames>
    <definedName name="_Hlk16666466" localSheetId="3">'Form 2F.1 - Design'!$AW$30</definedName>
    <definedName name="Logo">INDEX(Tables!$F$40:$F$45,MATCH(Tables!$F$14,Tables!$E$40:$E$45,0))</definedName>
    <definedName name="Material">Tables!$D$2:$D$10</definedName>
    <definedName name="_xlnm.Print_Area" localSheetId="3">'Form 2F.1 - Design'!$A$1:$AK$253</definedName>
    <definedName name="_xlnm.Print_Area" localSheetId="4">'Form 2F.2 - Design Attachment'!$A$1:$AK$109</definedName>
    <definedName name="_xlnm.Print_Area" localSheetId="5">'Form 3F - As-built'!$A$1:$AL$241</definedName>
    <definedName name="_xlnm.Print_Titles" localSheetId="3">'Form 2F.1 - Design'!$1:$5</definedName>
    <definedName name="_xlnm.Print_Titles" localSheetId="4">'Form 2F.2 - Design Attachment'!$1:$5</definedName>
    <definedName name="_xlnm.Print_Titles" localSheetId="5">'Form 3F - As-built'!$1:$4</definedName>
    <definedName name="Shape">Tables!$F$2:$F$10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6" i="6" l="1"/>
  <c r="AL177" i="5" l="1"/>
  <c r="AM175" i="5"/>
  <c r="AL175" i="5"/>
  <c r="AM173" i="5"/>
  <c r="AL173" i="5"/>
  <c r="AP52" i="8"/>
  <c r="AO52" i="8"/>
  <c r="AN52" i="8"/>
  <c r="AM52" i="8"/>
  <c r="AM51" i="8"/>
  <c r="AP50" i="8"/>
  <c r="AO50" i="8"/>
  <c r="AN50" i="8"/>
  <c r="AM50" i="8"/>
  <c r="AM49" i="8"/>
  <c r="AP48" i="8"/>
  <c r="AO48" i="8"/>
  <c r="AN48" i="8"/>
  <c r="AM48" i="8"/>
  <c r="AM47" i="8"/>
  <c r="AP46" i="8"/>
  <c r="AO46" i="8"/>
  <c r="AN46" i="8"/>
  <c r="AM46" i="8"/>
  <c r="AM45" i="8"/>
  <c r="AP44" i="8"/>
  <c r="AO44" i="8"/>
  <c r="AN44" i="8"/>
  <c r="AM44" i="8"/>
  <c r="AM43" i="8"/>
  <c r="AP42" i="8"/>
  <c r="AO42" i="8"/>
  <c r="AN42" i="8"/>
  <c r="AM42" i="8"/>
  <c r="AM41" i="8"/>
  <c r="AP40" i="8"/>
  <c r="AO40" i="8"/>
  <c r="AN40" i="8"/>
  <c r="AM40" i="8"/>
  <c r="AM39" i="8"/>
  <c r="AP38" i="8"/>
  <c r="AO38" i="8"/>
  <c r="AN38" i="8"/>
  <c r="AM38" i="8"/>
  <c r="AM37" i="8"/>
  <c r="AP36" i="8"/>
  <c r="AO36" i="8"/>
  <c r="AN36" i="8"/>
  <c r="AM36" i="8"/>
  <c r="AM35" i="8"/>
  <c r="AP34" i="8"/>
  <c r="AO34" i="8"/>
  <c r="AN34" i="8"/>
  <c r="AM34" i="8"/>
  <c r="AM33" i="8"/>
  <c r="AP32" i="8"/>
  <c r="AO32" i="8"/>
  <c r="AN32" i="8"/>
  <c r="AM32" i="8"/>
  <c r="AM31" i="8"/>
  <c r="AP30" i="8"/>
  <c r="AO30" i="8"/>
  <c r="AN30" i="8"/>
  <c r="AM30" i="8"/>
  <c r="AM29" i="8"/>
  <c r="AP28" i="8"/>
  <c r="AO28" i="8"/>
  <c r="AN28" i="8"/>
  <c r="AM28" i="8"/>
  <c r="AM27" i="8"/>
  <c r="AP26" i="8"/>
  <c r="AO26" i="8"/>
  <c r="AN26" i="8"/>
  <c r="AM26" i="8"/>
  <c r="AM25" i="8"/>
  <c r="AP24" i="8"/>
  <c r="AO24" i="8"/>
  <c r="AN24" i="8"/>
  <c r="AM24" i="8"/>
  <c r="B6" i="9"/>
  <c r="B34" i="9" s="1"/>
  <c r="B35" i="9" s="1"/>
  <c r="F38" i="2"/>
  <c r="O2" i="4"/>
  <c r="O1" i="4"/>
  <c r="F37" i="2"/>
  <c r="F34" i="2"/>
  <c r="F33" i="2"/>
  <c r="AP163" i="5" s="1"/>
  <c r="F32" i="2"/>
  <c r="AO163" i="5" s="1"/>
  <c r="F31" i="2"/>
  <c r="AP161" i="5" s="1"/>
  <c r="F29" i="2"/>
  <c r="F28" i="2"/>
  <c r="AW16" i="5" s="1"/>
  <c r="F27" i="2"/>
  <c r="F26" i="2"/>
  <c r="F25" i="2"/>
  <c r="F24" i="2"/>
  <c r="F23" i="2"/>
  <c r="F22" i="2"/>
  <c r="F21" i="2"/>
  <c r="F20" i="2"/>
  <c r="F19" i="2"/>
  <c r="F18" i="2"/>
  <c r="F17" i="2"/>
  <c r="F16" i="2"/>
  <c r="F15" i="2"/>
  <c r="M22" i="2"/>
  <c r="M19" i="2"/>
  <c r="B7" i="2"/>
  <c r="B8" i="2" s="1"/>
  <c r="F3" i="4" s="1"/>
  <c r="B2" i="2"/>
  <c r="B6" i="2" s="1"/>
  <c r="A2" i="4"/>
  <c r="T10" i="8"/>
  <c r="T9" i="8"/>
  <c r="AE10" i="8"/>
  <c r="AE7" i="8"/>
  <c r="E8" i="8"/>
  <c r="E7" i="8"/>
  <c r="AT163" i="5"/>
  <c r="AM171" i="5"/>
  <c r="AL171" i="5"/>
  <c r="AM169" i="5"/>
  <c r="AL169" i="5"/>
  <c r="AM167" i="5"/>
  <c r="AL167" i="5"/>
  <c r="AM165" i="5"/>
  <c r="AL165" i="5"/>
  <c r="P72" i="6"/>
  <c r="M72" i="6"/>
  <c r="E72" i="6"/>
  <c r="L70" i="6"/>
  <c r="E70" i="6"/>
  <c r="H69" i="6"/>
  <c r="AO72" i="6"/>
  <c r="AN72" i="6"/>
  <c r="AM72" i="6"/>
  <c r="AN70" i="6"/>
  <c r="AM70" i="6"/>
  <c r="AM69" i="6"/>
  <c r="AP130" i="5"/>
  <c r="AO130" i="5"/>
  <c r="AN130" i="5"/>
  <c r="AM130" i="5"/>
  <c r="AL130" i="5"/>
  <c r="AP128" i="5"/>
  <c r="AO128" i="5"/>
  <c r="AL128" i="5"/>
  <c r="R22" i="2"/>
  <c r="Q22" i="2"/>
  <c r="P22" i="2"/>
  <c r="O22" i="2"/>
  <c r="N22" i="2"/>
  <c r="R19" i="2"/>
  <c r="Q19" i="2"/>
  <c r="P19" i="2"/>
  <c r="O19" i="2"/>
  <c r="N19" i="2"/>
  <c r="F30" i="2" s="1"/>
  <c r="AR158" i="5" l="1"/>
  <c r="AX21" i="5" s="1"/>
  <c r="AV39" i="6"/>
  <c r="AW14" i="5"/>
  <c r="AX19" i="5"/>
  <c r="AD10" i="5"/>
  <c r="F29" i="4"/>
  <c r="F7" i="4"/>
  <c r="F32" i="4"/>
  <c r="U177" i="5"/>
  <c r="F22" i="4"/>
  <c r="I179" i="5"/>
  <c r="AX18" i="5"/>
  <c r="F13" i="4"/>
  <c r="O173" i="5"/>
  <c r="U175" i="5"/>
  <c r="F35" i="2"/>
  <c r="F36" i="2" s="1"/>
  <c r="AS163" i="5"/>
  <c r="AS158" i="5" s="1"/>
  <c r="AM128" i="5"/>
  <c r="L226" i="5" s="1"/>
  <c r="AJ159" i="5" l="1"/>
  <c r="AX20" i="5"/>
  <c r="AS161" i="5"/>
  <c r="AX24" i="5"/>
  <c r="AV10" i="5"/>
  <c r="AV13" i="5" s="1"/>
  <c r="AV15" i="5" s="1"/>
  <c r="AV17" i="5" s="1"/>
  <c r="AV22" i="5" s="1"/>
  <c r="AP179" i="5"/>
  <c r="AO179" i="5"/>
  <c r="AQ179" i="5" s="1"/>
  <c r="AN179" i="5"/>
  <c r="AR112" i="6" s="1"/>
  <c r="AM179" i="5"/>
  <c r="AL179" i="5"/>
  <c r="AF201" i="6"/>
  <c r="AV26" i="5" l="1"/>
  <c r="AV30" i="5" s="1"/>
  <c r="AV32" i="5" s="1"/>
  <c r="AV47" i="5" s="1"/>
  <c r="AV54" i="5" s="1"/>
  <c r="AV55" i="5" s="1"/>
  <c r="J19" i="2"/>
  <c r="J18" i="2"/>
  <c r="AM174" i="6"/>
  <c r="AM172" i="6"/>
  <c r="AM170" i="6"/>
  <c r="AM168" i="6"/>
  <c r="AM166" i="6"/>
  <c r="AM164" i="6"/>
  <c r="AM162" i="6"/>
  <c r="AM160" i="6"/>
  <c r="AM158" i="6"/>
  <c r="AM156" i="6"/>
  <c r="AM154" i="6"/>
  <c r="AM152" i="6"/>
  <c r="AP166" i="6"/>
  <c r="AO166" i="6"/>
  <c r="AN166" i="6"/>
  <c r="AP164" i="6"/>
  <c r="AO164" i="6"/>
  <c r="AN164" i="6"/>
  <c r="AP162" i="6"/>
  <c r="AO162" i="6"/>
  <c r="AN162" i="6"/>
  <c r="AN27" i="6"/>
  <c r="AM27" i="6"/>
  <c r="N27" i="6"/>
  <c r="I27" i="6"/>
  <c r="F27" i="6"/>
  <c r="I24" i="6"/>
  <c r="N24" i="6"/>
  <c r="I25" i="6"/>
  <c r="N25" i="6"/>
  <c r="N14" i="6"/>
  <c r="AE211" i="5" l="1"/>
  <c r="AE210" i="5"/>
  <c r="D210" i="5"/>
  <c r="B209" i="5"/>
  <c r="AL61" i="5"/>
  <c r="L215" i="5"/>
  <c r="AL215" i="5" s="1"/>
  <c r="AS66" i="6"/>
  <c r="AS65" i="6"/>
  <c r="AQ127" i="5"/>
  <c r="AQ126" i="5"/>
  <c r="AM82" i="5"/>
  <c r="AL82" i="5"/>
  <c r="AL67" i="5"/>
  <c r="AL65" i="5"/>
  <c r="AL63" i="5"/>
  <c r="J21" i="5"/>
  <c r="AL17" i="5" s="1"/>
  <c r="AM15" i="5"/>
  <c r="AM14" i="5"/>
  <c r="AL14" i="5"/>
  <c r="AQ158" i="5"/>
  <c r="AQ157" i="5"/>
  <c r="AQ156" i="5"/>
  <c r="AQ155" i="5"/>
  <c r="AQ154" i="5"/>
  <c r="AQ153" i="5"/>
  <c r="K2" i="2"/>
  <c r="K3" i="2" s="1"/>
  <c r="K4" i="2" s="1"/>
  <c r="K5" i="2" s="1"/>
  <c r="K6" i="2" s="1"/>
  <c r="K7" i="2" s="1"/>
  <c r="K8" i="2" s="1"/>
  <c r="K9" i="2" s="1"/>
  <c r="K10" i="2" s="1"/>
  <c r="K11" i="2" s="1"/>
  <c r="K12" i="2" s="1"/>
  <c r="K13" i="2" s="1"/>
  <c r="K14" i="2" s="1"/>
  <c r="K15" i="2" s="1"/>
  <c r="K16" i="2" s="1"/>
  <c r="K17" i="2" s="1"/>
  <c r="K18" i="2" s="1"/>
  <c r="K19" i="2" s="1"/>
  <c r="K20" i="2" s="1"/>
  <c r="K21" i="2" s="1"/>
  <c r="K22" i="2" s="1"/>
  <c r="K23" i="2" s="1"/>
  <c r="Y54" i="8"/>
  <c r="AP174" i="6"/>
  <c r="AP172" i="6"/>
  <c r="AP170" i="6"/>
  <c r="AP168" i="6"/>
  <c r="AP160" i="6"/>
  <c r="AP158" i="6"/>
  <c r="AP156" i="6"/>
  <c r="AP154" i="6"/>
  <c r="AP152" i="6"/>
  <c r="L225" i="5" l="1"/>
  <c r="AL225" i="5" s="1"/>
  <c r="AQ161" i="5"/>
  <c r="AQ163" i="5"/>
  <c r="AP150" i="6"/>
  <c r="L209" i="6"/>
  <c r="AM209" i="6" s="1"/>
  <c r="AM16" i="5"/>
  <c r="I39" i="5" s="1"/>
  <c r="W17" i="5"/>
  <c r="AQ111" i="6"/>
  <c r="AO161" i="5"/>
  <c r="AF198" i="6"/>
  <c r="A197" i="6"/>
  <c r="AO174" i="6"/>
  <c r="AN174" i="6"/>
  <c r="AO172" i="6"/>
  <c r="AN172" i="6"/>
  <c r="AO170" i="6"/>
  <c r="AN170" i="6"/>
  <c r="AO168" i="6"/>
  <c r="AN168" i="6"/>
  <c r="AO160" i="6"/>
  <c r="AN160" i="6"/>
  <c r="AM150" i="6"/>
  <c r="L218" i="6" s="1"/>
  <c r="AO158" i="6"/>
  <c r="AN158" i="6"/>
  <c r="AO156" i="6"/>
  <c r="AN156" i="6"/>
  <c r="AO154" i="6"/>
  <c r="AN154" i="6"/>
  <c r="AO152" i="6"/>
  <c r="AN152" i="6"/>
  <c r="AP15" i="5" l="1"/>
  <c r="I26" i="5"/>
  <c r="AA17" i="5"/>
  <c r="N20" i="5"/>
  <c r="N17" i="5"/>
  <c r="N16" i="5"/>
  <c r="N21" i="5"/>
  <c r="AE14" i="5"/>
  <c r="AP14" i="5"/>
  <c r="N18" i="5"/>
  <c r="AE15" i="5"/>
  <c r="N19" i="5"/>
  <c r="AP113" i="6"/>
  <c r="AQ110" i="6"/>
  <c r="AM218" i="6"/>
  <c r="AM181" i="5"/>
  <c r="AP16" i="5" l="1"/>
  <c r="AM163" i="5"/>
  <c r="AN163" i="5" s="1"/>
  <c r="AL163" i="5"/>
  <c r="AL42" i="5"/>
  <c r="AL29" i="5"/>
  <c r="AM140" i="5"/>
  <c r="AL137" i="5"/>
  <c r="AL138" i="5"/>
  <c r="B109" i="8"/>
  <c r="B63" i="8"/>
  <c r="AE64" i="8"/>
  <c r="D64" i="8"/>
  <c r="R54" i="8"/>
  <c r="K54" i="8"/>
  <c r="Y55" i="8" s="1"/>
  <c r="AP20" i="8"/>
  <c r="AO20" i="8"/>
  <c r="AN20" i="8"/>
  <c r="AM20" i="8"/>
  <c r="AP18" i="8"/>
  <c r="AO18" i="8"/>
  <c r="AN18" i="8"/>
  <c r="AM18" i="8"/>
  <c r="AP16" i="8"/>
  <c r="AO16" i="8"/>
  <c r="AN16" i="8"/>
  <c r="AM16" i="8"/>
  <c r="AN14" i="8"/>
  <c r="AM14" i="8"/>
  <c r="AP12" i="8"/>
  <c r="AO12" i="8"/>
  <c r="AN12" i="8"/>
  <c r="AM12" i="8"/>
  <c r="AP11" i="8"/>
  <c r="AO11" i="8"/>
  <c r="AN11" i="8"/>
  <c r="AM11" i="8"/>
  <c r="BD1" i="8"/>
  <c r="R55" i="8" l="1"/>
  <c r="AO14" i="8"/>
  <c r="K22" i="8" s="1"/>
  <c r="AP134" i="5"/>
  <c r="AP135" i="5"/>
  <c r="AP136" i="5"/>
  <c r="AP137" i="5"/>
  <c r="AP138" i="5"/>
  <c r="AP133" i="5"/>
  <c r="AE17" i="5"/>
  <c r="W20" i="5"/>
  <c r="AR111" i="6"/>
  <c r="AP111" i="6"/>
  <c r="AQ11" i="8"/>
  <c r="AM67" i="8"/>
  <c r="AM185" i="5"/>
  <c r="AL185" i="5"/>
  <c r="AM183" i="5"/>
  <c r="AL183" i="5"/>
  <c r="AL181" i="5"/>
  <c r="AM161" i="5"/>
  <c r="AN161" i="5" s="1"/>
  <c r="AL161" i="5"/>
  <c r="AL36" i="5"/>
  <c r="AL23" i="5"/>
  <c r="AS121" i="6"/>
  <c r="AS116" i="6"/>
  <c r="AQ138" i="5"/>
  <c r="AQ133" i="5"/>
  <c r="G121" i="6"/>
  <c r="G120" i="6"/>
  <c r="G119" i="6"/>
  <c r="G118" i="6"/>
  <c r="G117" i="6"/>
  <c r="G116" i="6"/>
  <c r="G114" i="6"/>
  <c r="G113" i="6"/>
  <c r="G112" i="6"/>
  <c r="G111" i="6"/>
  <c r="G110" i="6"/>
  <c r="G109" i="6"/>
  <c r="K138" i="5"/>
  <c r="K137" i="5"/>
  <c r="K136" i="5"/>
  <c r="K135" i="5"/>
  <c r="K134" i="5"/>
  <c r="K133" i="5"/>
  <c r="J47" i="5"/>
  <c r="J46" i="5"/>
  <c r="J45" i="5"/>
  <c r="J44" i="5"/>
  <c r="J43" i="5"/>
  <c r="J42" i="5"/>
  <c r="J34" i="5"/>
  <c r="J33" i="5"/>
  <c r="J32" i="5"/>
  <c r="J31" i="5"/>
  <c r="J30" i="5"/>
  <c r="J29" i="5"/>
  <c r="C121" i="6"/>
  <c r="C120" i="6"/>
  <c r="B253" i="5"/>
  <c r="B240" i="6"/>
  <c r="AQ135" i="5"/>
  <c r="AQ136" i="5"/>
  <c r="AQ137" i="5"/>
  <c r="AQ134" i="5"/>
  <c r="AO100" i="5"/>
  <c r="AO102" i="5"/>
  <c r="AP57" i="6"/>
  <c r="F23" i="8" l="1"/>
  <c r="N34" i="8"/>
  <c r="AB38" i="8"/>
  <c r="AB36" i="8"/>
  <c r="AB34" i="8"/>
  <c r="AB54" i="8"/>
  <c r="AB32" i="8"/>
  <c r="AB30" i="8"/>
  <c r="AB52" i="8"/>
  <c r="AB28" i="8"/>
  <c r="AB40" i="8"/>
  <c r="AB50" i="8"/>
  <c r="AB26" i="8"/>
  <c r="AB42" i="8"/>
  <c r="AB48" i="8"/>
  <c r="AB24" i="8"/>
  <c r="AB46" i="8"/>
  <c r="AB44" i="8"/>
  <c r="U40" i="8"/>
  <c r="U26" i="8"/>
  <c r="U38" i="8"/>
  <c r="N30" i="8"/>
  <c r="U52" i="8"/>
  <c r="N38" i="8"/>
  <c r="U32" i="8"/>
  <c r="N36" i="8"/>
  <c r="N28" i="8"/>
  <c r="N52" i="8"/>
  <c r="N42" i="8"/>
  <c r="U34" i="8"/>
  <c r="N48" i="8"/>
  <c r="N40" i="8"/>
  <c r="N50" i="8"/>
  <c r="U24" i="8"/>
  <c r="N46" i="8"/>
  <c r="U30" i="8"/>
  <c r="U42" i="8"/>
  <c r="U28" i="8"/>
  <c r="N26" i="8"/>
  <c r="U36" i="8"/>
  <c r="AR116" i="6"/>
  <c r="AR118" i="6"/>
  <c r="AO109" i="6"/>
  <c r="AR121" i="6"/>
  <c r="AR119" i="6"/>
  <c r="AR117" i="6"/>
  <c r="AO110" i="6"/>
  <c r="AR120" i="6"/>
  <c r="AO134" i="5"/>
  <c r="AO135" i="5"/>
  <c r="AO136" i="5"/>
  <c r="AO137" i="5"/>
  <c r="AO138" i="5"/>
  <c r="AO133" i="5"/>
  <c r="AP132" i="5"/>
  <c r="L234" i="5" s="1"/>
  <c r="AL234" i="5" s="1"/>
  <c r="AR110" i="6"/>
  <c r="AP110" i="6"/>
  <c r="N44" i="8"/>
  <c r="N54" i="8"/>
  <c r="U46" i="8"/>
  <c r="U50" i="8"/>
  <c r="U54" i="8"/>
  <c r="U44" i="8"/>
  <c r="U48" i="8"/>
  <c r="N32" i="8"/>
  <c r="N24" i="8"/>
  <c r="AN185" i="5"/>
  <c r="AQ132" i="5"/>
  <c r="L232" i="5" s="1"/>
  <c r="AL232" i="5" s="1"/>
  <c r="F33" i="5"/>
  <c r="F47" i="5"/>
  <c r="G137" i="5"/>
  <c r="C113" i="6"/>
  <c r="G138" i="5"/>
  <c r="C114" i="6"/>
  <c r="F46" i="5"/>
  <c r="AS118" i="6"/>
  <c r="AS119" i="6"/>
  <c r="AS120" i="6"/>
  <c r="AS117" i="6"/>
  <c r="AO117" i="6"/>
  <c r="AO118" i="6"/>
  <c r="AO119" i="6"/>
  <c r="AO120" i="6"/>
  <c r="AO116" i="6"/>
  <c r="AO121" i="6"/>
  <c r="AQ119" i="6" l="1"/>
  <c r="AQ121" i="6"/>
  <c r="AQ118" i="6"/>
  <c r="AQ117" i="6"/>
  <c r="AQ116" i="6"/>
  <c r="AQ120" i="6"/>
  <c r="AR115" i="6"/>
  <c r="L217" i="6" s="1"/>
  <c r="AP112" i="6"/>
  <c r="L206" i="6"/>
  <c r="L205" i="6"/>
  <c r="AP61" i="6"/>
  <c r="AP60" i="6"/>
  <c r="AN60" i="6"/>
  <c r="AO132" i="5" l="1"/>
  <c r="L233" i="5" s="1"/>
  <c r="AL233" i="5" s="1"/>
  <c r="AN138" i="5"/>
  <c r="AN134" i="5"/>
  <c r="AN135" i="5"/>
  <c r="AN136" i="5"/>
  <c r="AN137" i="5"/>
  <c r="AN133" i="5"/>
  <c r="AL134" i="5"/>
  <c r="AL135" i="5"/>
  <c r="AL136" i="5"/>
  <c r="AL133" i="5"/>
  <c r="AQ115" i="6" l="1"/>
  <c r="AL132" i="5"/>
  <c r="AO106" i="5"/>
  <c r="AM106" i="5"/>
  <c r="L216" i="6" l="1"/>
  <c r="AM216" i="6" s="1"/>
  <c r="AM217" i="6"/>
  <c r="L222" i="5"/>
  <c r="L221" i="5"/>
  <c r="L220" i="5"/>
  <c r="L219" i="5"/>
  <c r="AL47" i="5"/>
  <c r="AL46" i="5"/>
  <c r="AL45" i="5"/>
  <c r="AL44" i="5"/>
  <c r="AL43" i="5"/>
  <c r="AL34" i="5"/>
  <c r="AL33" i="5"/>
  <c r="AL32" i="5"/>
  <c r="AL31" i="5"/>
  <c r="AL30" i="5"/>
  <c r="W21" i="5"/>
  <c r="J16" i="2"/>
  <c r="F30" i="5" l="1"/>
  <c r="C117" i="6"/>
  <c r="F43" i="5"/>
  <c r="C110" i="6"/>
  <c r="G134" i="5"/>
  <c r="C118" i="6"/>
  <c r="F44" i="5"/>
  <c r="F31" i="5"/>
  <c r="C111" i="6"/>
  <c r="G135" i="5"/>
  <c r="F32" i="5"/>
  <c r="F45" i="5"/>
  <c r="C119" i="6"/>
  <c r="C112" i="6"/>
  <c r="G136" i="5"/>
  <c r="F29" i="5"/>
  <c r="C116" i="6"/>
  <c r="F42" i="5"/>
  <c r="C109" i="6"/>
  <c r="G133" i="5"/>
  <c r="AQ108" i="6"/>
  <c r="J6" i="2"/>
  <c r="AM141" i="5"/>
  <c r="AM6" i="6"/>
  <c r="AL41" i="5"/>
  <c r="AL28" i="5"/>
  <c r="AM133" i="5" l="1"/>
  <c r="AM135" i="5"/>
  <c r="AM134" i="5"/>
  <c r="AM138" i="5"/>
  <c r="AM136" i="5"/>
  <c r="AM137" i="5"/>
  <c r="AP117" i="6"/>
  <c r="AP119" i="6"/>
  <c r="AP118" i="6"/>
  <c r="AP120" i="6"/>
  <c r="AP116" i="6"/>
  <c r="AP121" i="6"/>
  <c r="AM211" i="6"/>
  <c r="AM204" i="6"/>
  <c r="AL218" i="5"/>
  <c r="AL228" i="5"/>
  <c r="AO117" i="5" l="1"/>
  <c r="AN117" i="5"/>
  <c r="AE158" i="5"/>
  <c r="AE157" i="5"/>
  <c r="D157" i="5"/>
  <c r="AX30" i="6"/>
  <c r="G15" i="2"/>
  <c r="AM139" i="6"/>
  <c r="AS59" i="6"/>
  <c r="AN59" i="6"/>
  <c r="AP62" i="6"/>
  <c r="AN62" i="6"/>
  <c r="AA20" i="5" l="1"/>
  <c r="W19" i="5"/>
  <c r="D191" i="5"/>
  <c r="AA10" i="6"/>
  <c r="AM77" i="6"/>
  <c r="AM206" i="6"/>
  <c r="AM205" i="6"/>
  <c r="AL221" i="5"/>
  <c r="AL222" i="5"/>
  <c r="AL220" i="5"/>
  <c r="AL219" i="5"/>
  <c r="AL91" i="5"/>
  <c r="AL95" i="5"/>
  <c r="B145" i="6" l="1"/>
  <c r="B99" i="6"/>
  <c r="B53" i="6"/>
  <c r="B156" i="5"/>
  <c r="B112" i="5"/>
  <c r="B54" i="5"/>
  <c r="I59" i="6" l="1"/>
  <c r="F59" i="6"/>
  <c r="AM59" i="6"/>
  <c r="O51" i="6"/>
  <c r="O50" i="6"/>
  <c r="J51" i="6"/>
  <c r="J50" i="6"/>
  <c r="O48" i="6"/>
  <c r="O47" i="6"/>
  <c r="O46" i="6"/>
  <c r="F48" i="6"/>
  <c r="F47" i="6"/>
  <c r="F46" i="6"/>
  <c r="O43" i="6"/>
  <c r="O40" i="6"/>
  <c r="F43" i="6"/>
  <c r="F42" i="6"/>
  <c r="F41" i="6"/>
  <c r="F40" i="6"/>
  <c r="O42" i="6"/>
  <c r="Q39" i="6"/>
  <c r="N39" i="6"/>
  <c r="I38" i="6"/>
  <c r="O37" i="6"/>
  <c r="O36" i="6"/>
  <c r="F36" i="6"/>
  <c r="I35" i="6"/>
  <c r="N15" i="6"/>
  <c r="Q17" i="6"/>
  <c r="N17" i="6"/>
  <c r="AM48" i="6"/>
  <c r="AM47" i="6"/>
  <c r="AM42" i="6"/>
  <c r="AM41" i="6"/>
  <c r="AM39" i="6"/>
  <c r="AM40" i="6"/>
  <c r="AM38" i="6"/>
  <c r="AM36" i="6"/>
  <c r="AM30" i="6"/>
  <c r="AM17" i="6"/>
  <c r="AM98" i="5"/>
  <c r="AL98" i="5"/>
  <c r="AM93" i="5"/>
  <c r="AL93" i="5"/>
  <c r="AL88" i="5"/>
  <c r="AL84" i="5"/>
  <c r="AM55" i="5" l="1"/>
  <c r="AM29" i="6"/>
  <c r="AN18" i="6"/>
  <c r="AM18" i="6"/>
  <c r="AM35" i="6"/>
  <c r="N33" i="6"/>
  <c r="I33" i="6"/>
  <c r="N32" i="6"/>
  <c r="I32" i="6"/>
  <c r="F30" i="6"/>
  <c r="I29" i="6"/>
  <c r="N22" i="6"/>
  <c r="N23" i="6"/>
  <c r="N21" i="6"/>
  <c r="I22" i="6"/>
  <c r="I23" i="6"/>
  <c r="I21" i="6"/>
  <c r="N18" i="6"/>
  <c r="I18" i="6"/>
  <c r="F18" i="6"/>
  <c r="AO104" i="5"/>
  <c r="AM88" i="5" l="1"/>
  <c r="AM84" i="5"/>
  <c r="AM73" i="5"/>
  <c r="AL73" i="5"/>
  <c r="AL69" i="5"/>
  <c r="AL59" i="5"/>
  <c r="P24" i="5" l="1"/>
  <c r="L24" i="5"/>
  <c r="BK1" i="6" l="1"/>
  <c r="AG146" i="6" l="1"/>
  <c r="AG100" i="6"/>
  <c r="AH114" i="6" l="1"/>
  <c r="AH113" i="6"/>
  <c r="AH112" i="6"/>
  <c r="AH111" i="6"/>
  <c r="AH110" i="6"/>
  <c r="AN110" i="6" s="1"/>
  <c r="AH109" i="6"/>
  <c r="AN109" i="6" s="1"/>
  <c r="AC114" i="6"/>
  <c r="AC113" i="6"/>
  <c r="AC112" i="6"/>
  <c r="AC111" i="6"/>
  <c r="AC110" i="6"/>
  <c r="AC109" i="6"/>
  <c r="AG54" i="6"/>
  <c r="X114" i="6"/>
  <c r="X113" i="6"/>
  <c r="X112" i="6"/>
  <c r="X111" i="6"/>
  <c r="X110" i="6"/>
  <c r="X109" i="6"/>
  <c r="S114" i="6"/>
  <c r="S113" i="6"/>
  <c r="S112" i="6"/>
  <c r="S111" i="6"/>
  <c r="S110" i="6"/>
  <c r="S109" i="6"/>
  <c r="N114" i="6"/>
  <c r="AN121" i="6" s="1"/>
  <c r="N113" i="6"/>
  <c r="AN120" i="6" s="1"/>
  <c r="N112" i="6"/>
  <c r="AN119" i="6" s="1"/>
  <c r="N111" i="6"/>
  <c r="AN118" i="6" s="1"/>
  <c r="N110" i="6"/>
  <c r="AN117" i="6" s="1"/>
  <c r="N109" i="6"/>
  <c r="AN116" i="6" s="1"/>
  <c r="M85" i="6"/>
  <c r="M86" i="6"/>
  <c r="M87" i="6"/>
  <c r="M88" i="6"/>
  <c r="M89" i="6"/>
  <c r="M90" i="6"/>
  <c r="G85" i="6"/>
  <c r="G86" i="6"/>
  <c r="G87" i="6"/>
  <c r="G88" i="6"/>
  <c r="G89" i="6"/>
  <c r="G90" i="6"/>
  <c r="B85" i="6"/>
  <c r="B86" i="6"/>
  <c r="B87" i="6"/>
  <c r="B88" i="6"/>
  <c r="B89" i="6"/>
  <c r="B90" i="6"/>
  <c r="M84" i="6"/>
  <c r="G84" i="6"/>
  <c r="B84" i="6"/>
  <c r="M78" i="6"/>
  <c r="M79" i="6"/>
  <c r="M80" i="6"/>
  <c r="M81" i="6"/>
  <c r="M82" i="6"/>
  <c r="M83" i="6"/>
  <c r="M77" i="6"/>
  <c r="G83" i="6"/>
  <c r="G82" i="6"/>
  <c r="G81" i="6"/>
  <c r="G80" i="6"/>
  <c r="G79" i="6"/>
  <c r="G78" i="6"/>
  <c r="G77" i="6"/>
  <c r="B83" i="6"/>
  <c r="B82" i="6"/>
  <c r="B81" i="6"/>
  <c r="B80" i="6"/>
  <c r="B79" i="6"/>
  <c r="B78" i="6"/>
  <c r="B77" i="6"/>
  <c r="AN113" i="6" l="1"/>
  <c r="AO113" i="6"/>
  <c r="AN114" i="6"/>
  <c r="AO114" i="6"/>
  <c r="AN112" i="6"/>
  <c r="AO112" i="6"/>
  <c r="AN111" i="6"/>
  <c r="AO111" i="6"/>
  <c r="AM138" i="6"/>
  <c r="AP90" i="6"/>
  <c r="AP89" i="6"/>
  <c r="AP88" i="6"/>
  <c r="AP87" i="6"/>
  <c r="AP86" i="6"/>
  <c r="AP85" i="6"/>
  <c r="AP84" i="6"/>
  <c r="AP83" i="6"/>
  <c r="AP82" i="6"/>
  <c r="AP81" i="6"/>
  <c r="AP80" i="6"/>
  <c r="AP79" i="6"/>
  <c r="AP78" i="6"/>
  <c r="AP77" i="6"/>
  <c r="AN77" i="6"/>
  <c r="AN66" i="6"/>
  <c r="I66" i="6"/>
  <c r="AN65" i="6"/>
  <c r="I65" i="6"/>
  <c r="O62" i="6"/>
  <c r="E62" i="6"/>
  <c r="O61" i="6"/>
  <c r="E61" i="6"/>
  <c r="AN61" i="6"/>
  <c r="AP59" i="6" s="1"/>
  <c r="L207" i="6" s="1"/>
  <c r="O60" i="6"/>
  <c r="E60" i="6"/>
  <c r="AF8" i="6"/>
  <c r="AF199" i="6" s="1"/>
  <c r="E8" i="6"/>
  <c r="E7" i="6"/>
  <c r="C198" i="6" s="1"/>
  <c r="AP65" i="6" l="1"/>
  <c r="L208" i="6" s="1"/>
  <c r="AG147" i="6"/>
  <c r="D54" i="6"/>
  <c r="D146" i="6"/>
  <c r="AG101" i="6"/>
  <c r="AO115" i="6"/>
  <c r="AS115" i="6"/>
  <c r="L215" i="6" s="1"/>
  <c r="AM207" i="6"/>
  <c r="AP115" i="6"/>
  <c r="AG55" i="6"/>
  <c r="D100" i="6"/>
  <c r="AM215" i="6" l="1"/>
  <c r="L214" i="6"/>
  <c r="AM214" i="6" s="1"/>
  <c r="L213" i="6"/>
  <c r="AM213" i="6" s="1"/>
  <c r="AN115" i="6"/>
  <c r="F34" i="5"/>
  <c r="AO127" i="5" l="1"/>
  <c r="AM127" i="5"/>
  <c r="AO109" i="5"/>
  <c r="AM109" i="5"/>
  <c r="AO107" i="5"/>
  <c r="AM47" i="5"/>
  <c r="AM46" i="5"/>
  <c r="AM45" i="5"/>
  <c r="AM44" i="5"/>
  <c r="AM43" i="5"/>
  <c r="AM42" i="5"/>
  <c r="AM30" i="5"/>
  <c r="AM31" i="5"/>
  <c r="AM32" i="5"/>
  <c r="AM33" i="5"/>
  <c r="AM34" i="5"/>
  <c r="AM29" i="5"/>
  <c r="AM107" i="5"/>
  <c r="AM104" i="5" l="1"/>
  <c r="L223" i="5" s="1"/>
  <c r="AL223" i="5" s="1"/>
  <c r="AM126" i="5"/>
  <c r="I109" i="6"/>
  <c r="AL104" i="5"/>
  <c r="AB37" i="5"/>
  <c r="X37" i="5"/>
  <c r="T37" i="5"/>
  <c r="P37" i="5"/>
  <c r="L37" i="5"/>
  <c r="AB24" i="5"/>
  <c r="X24" i="5"/>
  <c r="T24" i="5"/>
  <c r="AL118" i="5"/>
  <c r="AM118" i="5"/>
  <c r="AL119" i="5"/>
  <c r="AM119" i="5"/>
  <c r="AL120" i="5"/>
  <c r="AM120" i="5"/>
  <c r="AL121" i="5"/>
  <c r="AM121" i="5"/>
  <c r="AL122" i="5"/>
  <c r="AM122" i="5"/>
  <c r="AL123" i="5"/>
  <c r="AM123" i="5"/>
  <c r="AM117" i="5"/>
  <c r="AL117" i="5"/>
  <c r="AE114" i="5"/>
  <c r="AE113" i="5"/>
  <c r="D113" i="5"/>
  <c r="AE56" i="5"/>
  <c r="AE55" i="5"/>
  <c r="D55" i="5"/>
  <c r="J105" i="6"/>
  <c r="BM1" i="5"/>
  <c r="AM116" i="6" l="1"/>
  <c r="AM109" i="6"/>
  <c r="AN105" i="6"/>
  <c r="AO105" i="6"/>
  <c r="L210" i="6" s="1"/>
  <c r="L224" i="5"/>
  <c r="I114" i="6"/>
  <c r="I113" i="6"/>
  <c r="I112" i="6"/>
  <c r="I111" i="6"/>
  <c r="I110" i="6"/>
  <c r="AM28" i="5"/>
  <c r="L216" i="5" s="1"/>
  <c r="AM132" i="5"/>
  <c r="L230" i="5" s="1"/>
  <c r="AM41" i="5"/>
  <c r="L217" i="5" s="1"/>
  <c r="L229" i="5"/>
  <c r="AM118" i="6" l="1"/>
  <c r="AM111" i="6"/>
  <c r="AM120" i="6"/>
  <c r="AM113" i="6"/>
  <c r="AM117" i="6"/>
  <c r="AM110" i="6"/>
  <c r="AM119" i="6"/>
  <c r="AM112" i="6"/>
  <c r="AM121" i="6"/>
  <c r="AM114" i="6"/>
  <c r="AM210" i="6"/>
  <c r="AL217" i="5"/>
  <c r="AL216" i="5"/>
  <c r="AL229" i="5"/>
  <c r="AL230" i="5"/>
  <c r="H124" i="5"/>
  <c r="AM124" i="5" l="1"/>
  <c r="AM125" i="5"/>
  <c r="L227" i="5" s="1"/>
  <c r="AL227" i="5" s="1"/>
  <c r="AN132" i="5"/>
  <c r="L231" i="5" s="1"/>
  <c r="AL231" i="5" s="1"/>
  <c r="AL214" i="5" l="1"/>
  <c r="AM115" i="6"/>
  <c r="AM208" i="6"/>
  <c r="L212" i="6" l="1"/>
  <c r="AM212" i="6" s="1"/>
  <c r="AM202" i="6" s="1"/>
  <c r="A3"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BDS</author>
  </authors>
  <commentList>
    <comment ref="E8" authorId="0" shapeId="0" xr:uid="{3B287515-92BC-408D-8E97-4BEC19640ABE}">
      <text>
        <r>
          <rPr>
            <b/>
            <sz val="9"/>
            <color indexed="81"/>
            <rFont val="Tahoma"/>
            <family val="2"/>
          </rPr>
          <t>Note:</t>
        </r>
        <r>
          <rPr>
            <sz val="9"/>
            <color indexed="81"/>
            <rFont val="Tahoma"/>
            <family val="2"/>
          </rPr>
          <t xml:space="preserve">
Enter street address of proposed development</t>
        </r>
      </text>
    </comment>
    <comment ref="AE8" authorId="0" shapeId="0" xr:uid="{67630AD7-BFFE-4FD8-838A-A9581D30D04C}">
      <text>
        <r>
          <rPr>
            <b/>
            <sz val="9"/>
            <color indexed="81"/>
            <rFont val="Tahoma"/>
            <family val="2"/>
          </rPr>
          <t>Note:</t>
        </r>
        <r>
          <rPr>
            <sz val="9"/>
            <color indexed="81"/>
            <rFont val="Tahoma"/>
            <family val="2"/>
          </rPr>
          <t xml:space="preserve">
Provide a unique BMP ID
Examples:
   Pond 1
   Pond A
   1
   A</t>
        </r>
      </text>
    </comment>
    <comment ref="AA15" authorId="0" shapeId="0" xr:uid="{0B639A35-4281-455D-977F-2AFF1A6BCC93}">
      <text>
        <r>
          <rPr>
            <b/>
            <sz val="9"/>
            <color indexed="81"/>
            <rFont val="Tahoma"/>
            <family val="2"/>
          </rPr>
          <t>Note:</t>
        </r>
        <r>
          <rPr>
            <sz val="9"/>
            <color indexed="81"/>
            <rFont val="Tahoma"/>
            <family val="2"/>
          </rPr>
          <t xml:space="preserve">
If there is no EIA, enter 0</t>
        </r>
      </text>
    </comment>
    <comment ref="L25" authorId="0" shapeId="0" xr:uid="{9286438A-A5CF-4AD2-95AB-70338108127D}">
      <text>
        <r>
          <rPr>
            <b/>
            <sz val="9"/>
            <color indexed="81"/>
            <rFont val="Tahoma"/>
            <family val="2"/>
          </rPr>
          <t>Note:</t>
        </r>
        <r>
          <rPr>
            <sz val="9"/>
            <color indexed="81"/>
            <rFont val="Tahoma"/>
            <family val="2"/>
          </rPr>
          <t xml:space="preserve">
Enter a unique Basin ID for each subbasin</t>
        </r>
      </text>
    </comment>
    <comment ref="L38" authorId="0" shapeId="0" xr:uid="{D824465B-891A-46CF-A544-FF165EC279FD}">
      <text>
        <r>
          <rPr>
            <b/>
            <sz val="9"/>
            <color indexed="81"/>
            <rFont val="Tahoma"/>
            <family val="2"/>
          </rPr>
          <t>Note:</t>
        </r>
        <r>
          <rPr>
            <sz val="9"/>
            <color indexed="81"/>
            <rFont val="Tahoma"/>
            <family val="2"/>
          </rPr>
          <t xml:space="preserve">
Enter a unique Basin ID for each subbasin</t>
        </r>
      </text>
    </comment>
    <comment ref="O126" authorId="0" shapeId="0" xr:uid="{521CB1EE-FE96-4028-8E94-5361BEA69DDD}">
      <text>
        <r>
          <rPr>
            <b/>
            <sz val="9"/>
            <color indexed="81"/>
            <rFont val="Tahoma"/>
            <family val="2"/>
          </rPr>
          <t>Note:</t>
        </r>
        <r>
          <rPr>
            <sz val="9"/>
            <color indexed="81"/>
            <rFont val="Tahoma"/>
            <family val="2"/>
          </rPr>
          <t xml:space="preserve">
Enter number in decimal format.  Example: 00.000000</t>
        </r>
      </text>
    </comment>
    <comment ref="W126" authorId="0" shapeId="0" xr:uid="{AC34BECD-83DA-4A12-AA5C-7081C479F107}">
      <text>
        <r>
          <rPr>
            <b/>
            <sz val="9"/>
            <color indexed="81"/>
            <rFont val="Tahoma"/>
            <family val="2"/>
          </rPr>
          <t>Note:</t>
        </r>
        <r>
          <rPr>
            <sz val="9"/>
            <color indexed="81"/>
            <rFont val="Tahoma"/>
            <family val="2"/>
          </rPr>
          <t xml:space="preserve">
Enter number in decimal format.  Example: 00.000000</t>
        </r>
      </text>
    </comment>
    <comment ref="F201" authorId="0" shapeId="0" xr:uid="{891B0DB3-522B-4632-957D-4BE185001631}">
      <text>
        <r>
          <rPr>
            <b/>
            <sz val="9"/>
            <color indexed="81"/>
            <rFont val="Tahoma"/>
            <family val="2"/>
          </rPr>
          <t>Note:</t>
        </r>
        <r>
          <rPr>
            <sz val="9"/>
            <color indexed="81"/>
            <rFont val="Tahoma"/>
            <family val="2"/>
          </rPr>
          <t xml:space="preserve">
Enter street addres of proposed development</t>
        </r>
      </text>
    </comment>
    <comment ref="AD206" authorId="0" shapeId="0" xr:uid="{8A5A44CD-BF14-430C-A795-D927779D9803}">
      <text>
        <r>
          <rPr>
            <b/>
            <sz val="9"/>
            <color indexed="81"/>
            <rFont val="Tahoma"/>
            <family val="2"/>
          </rPr>
          <t>Note:</t>
        </r>
        <r>
          <rPr>
            <sz val="9"/>
            <color indexed="81"/>
            <rFont val="Tahoma"/>
            <family val="2"/>
          </rPr>
          <t xml:space="preserve">
Before printing the form, check the following:
        1.  If items are highlighted in green, yellow, or orange, the form is not complete.  Provide the required information.
        2.  If comments are shown in the Automated Review Checks, resolve the comments or provide an explination in the comments section.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BDS</author>
  </authors>
  <commentList>
    <comment ref="E8" authorId="0" shapeId="0" xr:uid="{FA34AD01-D99C-43DE-853A-2397B9F12B34}">
      <text>
        <r>
          <rPr>
            <b/>
            <sz val="9"/>
            <color indexed="81"/>
            <rFont val="Tahoma"/>
            <family val="2"/>
          </rPr>
          <t>Note:</t>
        </r>
        <r>
          <rPr>
            <sz val="9"/>
            <color indexed="81"/>
            <rFont val="Tahoma"/>
            <family val="2"/>
          </rPr>
          <t xml:space="preserve">
Enter street address of proposed development</t>
        </r>
      </text>
    </comment>
    <comment ref="T9" authorId="0" shapeId="0" xr:uid="{5CE521E2-3D70-4274-B7CC-6CD76C9E8FF9}">
      <text>
        <r>
          <rPr>
            <b/>
            <sz val="9"/>
            <color indexed="81"/>
            <rFont val="Tahoma"/>
            <family val="2"/>
          </rPr>
          <t>Note:</t>
        </r>
        <r>
          <rPr>
            <sz val="9"/>
            <color indexed="81"/>
            <rFont val="Tahoma"/>
            <family val="2"/>
          </rPr>
          <t xml:space="preserve">
Enter number in decimal format.  Example: 00.000000</t>
        </r>
      </text>
    </comment>
    <comment ref="T10" authorId="0" shapeId="0" xr:uid="{840522BC-FE8D-434C-9371-BEA4C56B600E}">
      <text>
        <r>
          <rPr>
            <b/>
            <sz val="9"/>
            <color indexed="81"/>
            <rFont val="Tahoma"/>
            <family val="2"/>
          </rPr>
          <t>Note:</t>
        </r>
        <r>
          <rPr>
            <sz val="9"/>
            <color indexed="81"/>
            <rFont val="Tahoma"/>
            <family val="2"/>
          </rPr>
          <t xml:space="preserve">
Enter number in decimal format.  Example: -00.000000</t>
        </r>
      </text>
    </comment>
    <comment ref="E81" authorId="0" shapeId="0" xr:uid="{06990E49-1566-4578-8A79-EDF2B8E3B998}">
      <text>
        <r>
          <rPr>
            <b/>
            <sz val="9"/>
            <color indexed="81"/>
            <rFont val="Tahoma"/>
            <family val="2"/>
          </rPr>
          <t>Note:</t>
        </r>
        <r>
          <rPr>
            <sz val="9"/>
            <color indexed="81"/>
            <rFont val="Tahoma"/>
            <family val="2"/>
          </rPr>
          <t xml:space="preserve">
Enter street address of proposed development</t>
        </r>
      </text>
    </comment>
    <comment ref="AC86" authorId="0" shapeId="0" xr:uid="{D09EBA1F-3E52-40C4-A7BA-224A885AC44A}">
      <text>
        <r>
          <rPr>
            <b/>
            <sz val="9"/>
            <color indexed="81"/>
            <rFont val="Tahoma"/>
            <family val="2"/>
          </rPr>
          <t>Note:</t>
        </r>
        <r>
          <rPr>
            <sz val="9"/>
            <color indexed="81"/>
            <rFont val="Tahoma"/>
            <family val="2"/>
          </rPr>
          <t xml:space="preserve">
Before printing the form, check the following:
        1.  If items are highlighted in green, yellow, or orange, the form is not complete.  Provide the required information or provide an explanation in the comments section.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BDS</author>
  </authors>
  <commentList>
    <comment ref="AD65" authorId="0" shapeId="0" xr:uid="{0A8A7216-34DD-4466-836A-0885FB0DF71B}">
      <text>
        <r>
          <rPr>
            <b/>
            <sz val="9"/>
            <color indexed="81"/>
            <rFont val="Tahoma"/>
            <family val="2"/>
          </rPr>
          <t>Note:</t>
        </r>
        <r>
          <rPr>
            <sz val="9"/>
            <color indexed="81"/>
            <rFont val="Tahoma"/>
            <family val="2"/>
          </rPr>
          <t xml:space="preserve">
Enter number in decimal format.
Example: 00.000000</t>
        </r>
      </text>
    </comment>
    <comment ref="AD66" authorId="0" shapeId="0" xr:uid="{FC766ED8-AFFD-46E1-B86E-C24BCC163475}">
      <text>
        <r>
          <rPr>
            <b/>
            <sz val="9"/>
            <color indexed="81"/>
            <rFont val="Tahoma"/>
            <family val="2"/>
          </rPr>
          <t>Note:</t>
        </r>
        <r>
          <rPr>
            <sz val="9"/>
            <color indexed="81"/>
            <rFont val="Tahoma"/>
            <family val="2"/>
          </rPr>
          <t xml:space="preserve">
Enter number in decimal format.
Example: 00.000000</t>
        </r>
      </text>
    </comment>
    <comment ref="E183" authorId="0" shapeId="0" xr:uid="{FDF7813E-5190-4172-B55D-42AD9CD86139}">
      <text>
        <r>
          <rPr>
            <b/>
            <sz val="9"/>
            <color indexed="81"/>
            <rFont val="Tahoma"/>
            <family val="2"/>
          </rPr>
          <t>Note:</t>
        </r>
        <r>
          <rPr>
            <sz val="9"/>
            <color indexed="81"/>
            <rFont val="Tahoma"/>
            <family val="2"/>
          </rPr>
          <t xml:space="preserve">
Enter street addres of proposed development</t>
        </r>
      </text>
    </comment>
    <comment ref="AC188" authorId="0" shapeId="0" xr:uid="{F28ABC87-7DD1-45F8-A735-1EF6FFD9430B}">
      <text>
        <r>
          <rPr>
            <b/>
            <sz val="9"/>
            <color indexed="81"/>
            <rFont val="Tahoma"/>
            <family val="2"/>
          </rPr>
          <t>Note:</t>
        </r>
        <r>
          <rPr>
            <sz val="9"/>
            <color indexed="81"/>
            <rFont val="Tahoma"/>
            <family val="2"/>
          </rPr>
          <t xml:space="preserve">
Before printing the form, check the following:
        1.  If items are highlighted in green, yellow, or orange, the form is not complete.  Provide the required information.
        2.  If comments are shown in the Automated Review Checks, resolve the comments or provide an explination in the comments section.</t>
        </r>
      </text>
    </comment>
  </commentList>
</comments>
</file>

<file path=xl/sharedStrings.xml><?xml version="1.0" encoding="utf-8"?>
<sst xmlns="http://schemas.openxmlformats.org/spreadsheetml/2006/main" count="1373" uniqueCount="593">
  <si>
    <t>Development Information</t>
  </si>
  <si>
    <t>Name:</t>
  </si>
  <si>
    <t>Proposed Impervious Area (PIA)</t>
  </si>
  <si>
    <t>Pre-Development</t>
  </si>
  <si>
    <t>Curve Number:</t>
  </si>
  <si>
    <t>(WQ)</t>
  </si>
  <si>
    <t>(2-yr)</t>
  </si>
  <si>
    <t>(5-yr)</t>
  </si>
  <si>
    <t>(10-yr)</t>
  </si>
  <si>
    <t>(25-yr)</t>
  </si>
  <si>
    <t>(100-yr)</t>
  </si>
  <si>
    <t>Post-Development</t>
  </si>
  <si>
    <t>Post Total</t>
  </si>
  <si>
    <t>Pre Total</t>
  </si>
  <si>
    <t>Emergency Spillway</t>
  </si>
  <si>
    <t>Outfall Location</t>
  </si>
  <si>
    <t>Pond Stage-Area-Storage Summary</t>
  </si>
  <si>
    <t>Elevation</t>
  </si>
  <si>
    <t>Area</t>
  </si>
  <si>
    <t>Professional Engineer Certification</t>
  </si>
  <si>
    <t>Address:</t>
  </si>
  <si>
    <t>Date:</t>
  </si>
  <si>
    <t>Comments:</t>
  </si>
  <si>
    <t>Material</t>
  </si>
  <si>
    <t>Concrete</t>
  </si>
  <si>
    <t>Metal</t>
  </si>
  <si>
    <t>HDPP</t>
  </si>
  <si>
    <t>PVC</t>
  </si>
  <si>
    <t>HDPE</t>
  </si>
  <si>
    <t>Material:</t>
  </si>
  <si>
    <t>Other</t>
  </si>
  <si>
    <t>Select</t>
  </si>
  <si>
    <t>Shape:</t>
  </si>
  <si>
    <t>Shape</t>
  </si>
  <si>
    <t>BMP ID:</t>
  </si>
  <si>
    <t>acres</t>
  </si>
  <si>
    <r>
      <t>Water Quality Volume (WQ</t>
    </r>
    <r>
      <rPr>
        <vertAlign val="subscript"/>
        <sz val="10"/>
        <color theme="1"/>
        <rFont val="Calibri"/>
        <family val="2"/>
      </rPr>
      <t>v</t>
    </r>
    <r>
      <rPr>
        <sz val="10"/>
        <color theme="1"/>
        <rFont val="Calibri"/>
        <family val="2"/>
        <scheme val="minor"/>
      </rPr>
      <t>):</t>
    </r>
  </si>
  <si>
    <r>
      <t>ft</t>
    </r>
    <r>
      <rPr>
        <vertAlign val="superscript"/>
        <sz val="8"/>
        <color theme="1"/>
        <rFont val="Calibri"/>
        <family val="2"/>
      </rPr>
      <t>3</t>
    </r>
  </si>
  <si>
    <r>
      <t>WQ</t>
    </r>
    <r>
      <rPr>
        <vertAlign val="subscript"/>
        <sz val="10"/>
        <color theme="1"/>
        <rFont val="Calibri"/>
        <family val="2"/>
      </rPr>
      <t>v</t>
    </r>
    <r>
      <rPr>
        <sz val="10"/>
        <color theme="1"/>
        <rFont val="Calibri"/>
        <family val="2"/>
        <scheme val="minor"/>
      </rPr>
      <t xml:space="preserve"> = </t>
    </r>
  </si>
  <si>
    <r>
      <t>ft</t>
    </r>
    <r>
      <rPr>
        <vertAlign val="superscript"/>
        <sz val="10"/>
        <color theme="1"/>
        <rFont val="Calibri"/>
        <family val="2"/>
      </rPr>
      <t>2</t>
    </r>
  </si>
  <si>
    <t>Width:</t>
  </si>
  <si>
    <t>Inv. EL</t>
  </si>
  <si>
    <t>in</t>
  </si>
  <si>
    <t>ft</t>
  </si>
  <si>
    <t>Length:</t>
  </si>
  <si>
    <t>Crest EL.:</t>
  </si>
  <si>
    <t>Latitude:</t>
  </si>
  <si>
    <t>Longitude:</t>
  </si>
  <si>
    <t>Basin ID:</t>
  </si>
  <si>
    <t>Cumulative Vol.</t>
  </si>
  <si>
    <r>
      <t>WQ</t>
    </r>
    <r>
      <rPr>
        <vertAlign val="subscript"/>
        <sz val="15"/>
        <color theme="1"/>
        <rFont val="Calibri"/>
        <family val="2"/>
      </rPr>
      <t>v</t>
    </r>
    <r>
      <rPr>
        <sz val="10"/>
        <color theme="1"/>
        <rFont val="Calibri"/>
        <family val="2"/>
        <scheme val="minor"/>
      </rPr>
      <t xml:space="preserve"> Required:</t>
    </r>
  </si>
  <si>
    <r>
      <t>WQ</t>
    </r>
    <r>
      <rPr>
        <vertAlign val="subscript"/>
        <sz val="15"/>
        <color theme="1"/>
        <rFont val="Calibri"/>
        <family val="2"/>
      </rPr>
      <t>v</t>
    </r>
    <r>
      <rPr>
        <sz val="10"/>
        <color theme="1"/>
        <rFont val="Calibri"/>
        <family val="2"/>
        <scheme val="minor"/>
      </rPr>
      <t xml:space="preserve"> Provided:</t>
    </r>
  </si>
  <si>
    <t>Width</t>
  </si>
  <si>
    <t>Time of Concentration (min):</t>
  </si>
  <si>
    <t>Additional Impervious Area (AIA) = PIA - EIA</t>
  </si>
  <si>
    <t>AIA =</t>
  </si>
  <si>
    <t>Design</t>
  </si>
  <si>
    <t>As-Built</t>
  </si>
  <si>
    <t>Water Quality Volume (WQv)</t>
  </si>
  <si>
    <t>WQv Required:</t>
  </si>
  <si>
    <t>WQv Provided:</t>
  </si>
  <si>
    <r>
      <t>Pre Q
(ft</t>
    </r>
    <r>
      <rPr>
        <vertAlign val="superscript"/>
        <sz val="8"/>
        <color theme="1"/>
        <rFont val="Calibri"/>
        <family val="2"/>
      </rPr>
      <t>3</t>
    </r>
    <r>
      <rPr>
        <sz val="10"/>
        <color theme="1"/>
        <rFont val="Calibri"/>
        <family val="2"/>
        <scheme val="minor"/>
      </rPr>
      <t>/s)</t>
    </r>
  </si>
  <si>
    <r>
      <t>Total Post 
Q (ft</t>
    </r>
    <r>
      <rPr>
        <vertAlign val="superscript"/>
        <sz val="8"/>
        <color theme="1"/>
        <rFont val="Calibri"/>
        <family val="2"/>
      </rPr>
      <t>3</t>
    </r>
    <r>
      <rPr>
        <sz val="10"/>
        <color theme="1"/>
        <rFont val="Calibri"/>
        <family val="2"/>
        <scheme val="minor"/>
      </rPr>
      <t>/s)</t>
    </r>
  </si>
  <si>
    <t>Type</t>
  </si>
  <si>
    <t>Enter data as applicable for the proposed design.</t>
  </si>
  <si>
    <t>General Instructions</t>
  </si>
  <si>
    <t>If a field is highlighted yellow after a number is entered, the yellow highlight may indicate an error and/or concern.  Once the error and/or concern is resolved, the yellow highlight will be removed.  All yellow highlighted cells shall be resolved or an explanitation provided prior to completing the form.</t>
  </si>
  <si>
    <t>Field Types</t>
  </si>
  <si>
    <t>Supplemental Instructions</t>
  </si>
  <si>
    <t>Use the drop down list to select a shape.</t>
  </si>
  <si>
    <t>Riprap</t>
  </si>
  <si>
    <t>Earthen</t>
  </si>
  <si>
    <t>Geotextile</t>
  </si>
  <si>
    <t>Total Post Q &gt; Pre Q</t>
  </si>
  <si>
    <t>Max Stage</t>
  </si>
  <si>
    <t>Total Post</t>
  </si>
  <si>
    <t>Post Total not completed</t>
  </si>
  <si>
    <t>Length</t>
  </si>
  <si>
    <t>Crest</t>
  </si>
  <si>
    <t>Top</t>
  </si>
  <si>
    <t>E. Spillway</t>
  </si>
  <si>
    <t>Design Response</t>
  </si>
  <si>
    <t>Emergency Spillway Section not completed</t>
  </si>
  <si>
    <t>Pre Total not compeleted</t>
  </si>
  <si>
    <t>Max Stage:</t>
  </si>
  <si>
    <t>Automated Review Checks</t>
  </si>
  <si>
    <t>Form Section</t>
  </si>
  <si>
    <t>Pre-Development:</t>
  </si>
  <si>
    <t>Post-Development:</t>
  </si>
  <si>
    <t>Emergency Spillway:</t>
  </si>
  <si>
    <t>Total Post Q:</t>
  </si>
  <si>
    <t>Photographs, at a minimum, shall include the following:</t>
  </si>
  <si>
    <t>The developer / owner shall retain the services of a professional land surveyor to:</t>
  </si>
  <si>
    <t>Develop an as-built drawing.</t>
  </si>
  <si>
    <t>a.</t>
  </si>
  <si>
    <t>b.</t>
  </si>
  <si>
    <t>The developer shall retain the services of a professional engineer to:</t>
  </si>
  <si>
    <t>H&amp;H Calculations</t>
  </si>
  <si>
    <t>Photographs</t>
  </si>
  <si>
    <t>Storm sewers showing pipes, inlets, junction boxes, outlets, outlet protection, and invert elevations</t>
  </si>
  <si>
    <t>Detail of emergency spillway showing elevations and dimensions</t>
  </si>
  <si>
    <t>Outlet pipe discharge location and outlet protection</t>
  </si>
  <si>
    <t>Prior to approval of the Final Plat.</t>
  </si>
  <si>
    <t>Provide ALL required attachments:</t>
  </si>
  <si>
    <t>As-Built Survey Drawing(s)</t>
  </si>
  <si>
    <t>As-built survey, at a minimum, shall include the following:</t>
  </si>
  <si>
    <t>The issuance of a Certificate of Occupancy; and/or,</t>
  </si>
  <si>
    <t>e.</t>
  </si>
  <si>
    <t>c.</t>
  </si>
  <si>
    <t>d.</t>
  </si>
  <si>
    <t>f.</t>
  </si>
  <si>
    <t>•</t>
  </si>
  <si>
    <t>Outfall Location:</t>
  </si>
  <si>
    <t>Latitude and/or Longitude not provided</t>
  </si>
  <si>
    <t xml:space="preserve">This is a calculated field.  Once the required information is entered, the orange highlight will be removed. </t>
  </si>
  <si>
    <t>Use the drop down list to select a material.</t>
  </si>
  <si>
    <t>Pond Top EL.:</t>
  </si>
  <si>
    <t>General design standards and requirements shall be as follows:</t>
  </si>
  <si>
    <t xml:space="preserve"> As-built Survey</t>
  </si>
  <si>
    <t xml:space="preserve"> As-built H&amp;H Calculations</t>
  </si>
  <si>
    <t xml:space="preserve"> O&amp;M Agreement</t>
  </si>
  <si>
    <t>Attachments:</t>
  </si>
  <si>
    <t xml:space="preserve"> Photos</t>
  </si>
  <si>
    <t xml:space="preserve"> Yes</t>
  </si>
  <si>
    <t xml:space="preserve"> No</t>
  </si>
  <si>
    <r>
      <t>Pre Q
(ft</t>
    </r>
    <r>
      <rPr>
        <vertAlign val="superscript"/>
        <sz val="9"/>
        <color theme="1"/>
        <rFont val="Calibri"/>
        <family val="2"/>
      </rPr>
      <t>3</t>
    </r>
    <r>
      <rPr>
        <sz val="9"/>
        <color theme="1"/>
        <rFont val="Calibri"/>
        <family val="2"/>
        <scheme val="minor"/>
      </rPr>
      <t>/s)</t>
    </r>
  </si>
  <si>
    <r>
      <t>Total Post 
Q (ft</t>
    </r>
    <r>
      <rPr>
        <vertAlign val="superscript"/>
        <sz val="9"/>
        <color theme="1"/>
        <rFont val="Calibri"/>
        <family val="2"/>
      </rPr>
      <t>3</t>
    </r>
    <r>
      <rPr>
        <sz val="9"/>
        <color theme="1"/>
        <rFont val="Calibri"/>
        <family val="2"/>
        <scheme val="minor"/>
      </rPr>
      <t>/s)</t>
    </r>
  </si>
  <si>
    <t xml:space="preserve"> Design Drawings</t>
  </si>
  <si>
    <t xml:space="preserve"> H&amp;H Calculations</t>
  </si>
  <si>
    <t xml:space="preserve"> Drainage Basin Maps</t>
  </si>
  <si>
    <t>Owner's Information</t>
  </si>
  <si>
    <t xml:space="preserve"> Not Applicable</t>
  </si>
  <si>
    <t xml:space="preserve">Name: </t>
  </si>
  <si>
    <t xml:space="preserve">Address: </t>
  </si>
  <si>
    <t xml:space="preserve">Email: </t>
  </si>
  <si>
    <t xml:space="preserve">HOA Name: </t>
  </si>
  <si>
    <t xml:space="preserve">State: </t>
  </si>
  <si>
    <t xml:space="preserve">Zip Code: </t>
  </si>
  <si>
    <t xml:space="preserve">Phone: </t>
  </si>
  <si>
    <t xml:space="preserve">Title: </t>
  </si>
  <si>
    <t xml:space="preserve">Detail Attached: </t>
  </si>
  <si>
    <t>No</t>
  </si>
  <si>
    <t>Lat</t>
  </si>
  <si>
    <t>Long</t>
  </si>
  <si>
    <t>Lat &amp; Long</t>
  </si>
  <si>
    <r>
      <t>WQ</t>
    </r>
    <r>
      <rPr>
        <vertAlign val="subscript"/>
        <sz val="10"/>
        <color theme="1"/>
        <rFont val="Calibri"/>
        <family val="2"/>
        <scheme val="minor"/>
      </rPr>
      <t>v</t>
    </r>
    <r>
      <rPr>
        <sz val="10"/>
        <color theme="1"/>
        <rFont val="Calibri"/>
        <family val="2"/>
        <scheme val="minor"/>
      </rPr>
      <t>:</t>
    </r>
  </si>
  <si>
    <r>
      <t>WQ</t>
    </r>
    <r>
      <rPr>
        <vertAlign val="subscript"/>
        <sz val="11"/>
        <color theme="1"/>
        <rFont val="Calibri"/>
        <family val="2"/>
        <scheme val="minor"/>
      </rPr>
      <t>v</t>
    </r>
    <r>
      <rPr>
        <sz val="11"/>
        <color theme="1"/>
        <rFont val="Calibri"/>
        <family val="2"/>
        <scheme val="minor"/>
      </rPr>
      <t xml:space="preserve"> Required &gt; WQ</t>
    </r>
    <r>
      <rPr>
        <vertAlign val="subscript"/>
        <sz val="11"/>
        <color theme="1"/>
        <rFont val="Calibri"/>
        <family val="2"/>
        <scheme val="minor"/>
      </rPr>
      <t>v</t>
    </r>
    <r>
      <rPr>
        <sz val="11"/>
        <color theme="1"/>
        <rFont val="Calibri"/>
        <family val="2"/>
        <scheme val="minor"/>
      </rPr>
      <t xml:space="preserve"> Provided</t>
    </r>
  </si>
  <si>
    <t>WQv</t>
  </si>
  <si>
    <t>Pre Q</t>
  </si>
  <si>
    <t>Pond In Q</t>
  </si>
  <si>
    <t>Pre Q:</t>
  </si>
  <si>
    <t>Montgomery</t>
  </si>
  <si>
    <t>Hoover</t>
  </si>
  <si>
    <t>Prattville</t>
  </si>
  <si>
    <t>Mobile</t>
  </si>
  <si>
    <t xml:space="preserve">Select City: </t>
  </si>
  <si>
    <t xml:space="preserve">Trash Rack: </t>
  </si>
  <si>
    <t>Yes</t>
  </si>
  <si>
    <t xml:space="preserve">Width: </t>
  </si>
  <si>
    <t xml:space="preserve">Diameter: </t>
  </si>
  <si>
    <t xml:space="preserve">Material: </t>
  </si>
  <si>
    <t xml:space="preserve">Shape: </t>
  </si>
  <si>
    <t xml:space="preserve">Length: </t>
  </si>
  <si>
    <t>Round</t>
  </si>
  <si>
    <t>Rectangle</t>
  </si>
  <si>
    <t>Trapezoid</t>
  </si>
  <si>
    <t>Square</t>
  </si>
  <si>
    <t>Development Information:</t>
  </si>
  <si>
    <t xml:space="preserve">Date: </t>
  </si>
  <si>
    <t xml:space="preserve">Latitude: </t>
  </si>
  <si>
    <t xml:space="preserve">Longitude: </t>
  </si>
  <si>
    <t xml:space="preserve">Company: </t>
  </si>
  <si>
    <t xml:space="preserve">Signature: </t>
  </si>
  <si>
    <t xml:space="preserve">Select: </t>
  </si>
  <si>
    <t xml:space="preserve">Orifice: </t>
  </si>
  <si>
    <t xml:space="preserve">Crest EL: </t>
  </si>
  <si>
    <t xml:space="preserve">Attachments: </t>
  </si>
  <si>
    <t xml:space="preserve">Buildings / Structures: </t>
  </si>
  <si>
    <t xml:space="preserve">Driveways / Sidewalks: </t>
  </si>
  <si>
    <t xml:space="preserve">Roads: </t>
  </si>
  <si>
    <t xml:space="preserve">Parking: </t>
  </si>
  <si>
    <t xml:space="preserve">Other: </t>
  </si>
  <si>
    <t xml:space="preserve">Total PIA: </t>
  </si>
  <si>
    <t>Select either "Yes" or "No" by placing an "X" in the appropriate box.  Once an "X" is entered, the green highlight will be removed.</t>
  </si>
  <si>
    <t>Automated Review Checks:  Once information and data are entered into the form, the form will check the information entered and identify any potential issues or concerns.  Prior to printing the form, all automated comments shall be resolved.</t>
  </si>
  <si>
    <t>Automated Comments</t>
  </si>
  <si>
    <t xml:space="preserve"> Soils Data</t>
  </si>
  <si>
    <t xml:space="preserve"> Maintenance Plan</t>
  </si>
  <si>
    <t xml:space="preserve">Hydrologic Soil Group: </t>
  </si>
  <si>
    <t xml:space="preserve"> A</t>
  </si>
  <si>
    <t xml:space="preserve"> B</t>
  </si>
  <si>
    <t xml:space="preserve"> C</t>
  </si>
  <si>
    <t xml:space="preserve"> D</t>
  </si>
  <si>
    <t xml:space="preserve">Water Table Depth: </t>
  </si>
  <si>
    <t>in/hr</t>
  </si>
  <si>
    <t xml:space="preserve">Type: </t>
  </si>
  <si>
    <t xml:space="preserve">Pretreatment: </t>
  </si>
  <si>
    <t>Depth</t>
  </si>
  <si>
    <t>Bottom EL</t>
  </si>
  <si>
    <t>ea</t>
  </si>
  <si>
    <t>Diameter</t>
  </si>
  <si>
    <t xml:space="preserve"> Underdrain Pipe(s)</t>
  </si>
  <si>
    <t xml:space="preserve">Outlet Pipe Inv. EL: </t>
  </si>
  <si>
    <t xml:space="preserve">Perforated Pipe Inv. EL: </t>
  </si>
  <si>
    <t xml:space="preserve"> System Cross Section</t>
  </si>
  <si>
    <t xml:space="preserve"> No Underdrain System</t>
  </si>
  <si>
    <t>Discharge Summary</t>
  </si>
  <si>
    <t>ES Tot</t>
  </si>
  <si>
    <t xml:space="preserve">Inv. EL: </t>
  </si>
  <si>
    <t>Discharge Summary:</t>
  </si>
  <si>
    <r>
      <t>In Q
(ft</t>
    </r>
    <r>
      <rPr>
        <vertAlign val="superscript"/>
        <sz val="9"/>
        <color theme="1"/>
        <rFont val="Calibri"/>
        <family val="2"/>
      </rPr>
      <t>3</t>
    </r>
    <r>
      <rPr>
        <sz val="9"/>
        <color theme="1"/>
        <rFont val="Calibri"/>
        <family val="2"/>
        <scheme val="minor"/>
      </rPr>
      <t>/s)</t>
    </r>
  </si>
  <si>
    <r>
      <t>Out Q 
(ft</t>
    </r>
    <r>
      <rPr>
        <vertAlign val="superscript"/>
        <sz val="9"/>
        <color theme="1"/>
        <rFont val="Calibri"/>
        <family val="2"/>
      </rPr>
      <t>3</t>
    </r>
    <r>
      <rPr>
        <sz val="9"/>
        <color theme="1"/>
        <rFont val="Calibri"/>
        <family val="2"/>
        <scheme val="minor"/>
      </rPr>
      <t>/s)</t>
    </r>
  </si>
  <si>
    <t>This is a required field.  Place an "X" in the appropriate box and the green highlight will be removed.  In some cases, the selection is optional.  Once an option is completed, additional fields will be highlighted green and in some fields the green highlight will be removed.</t>
  </si>
  <si>
    <t>Once the Design, As-built, or Inspection Forms are completed, there should be no green, yellow, or orange highlighted fields.</t>
  </si>
  <si>
    <t>The Supplemental Instructions provide additional guidance and design standards.</t>
  </si>
  <si>
    <t xml:space="preserve">Drainage Area: </t>
  </si>
  <si>
    <t xml:space="preserve">Land Slope: </t>
  </si>
  <si>
    <t>%</t>
  </si>
  <si>
    <t>Overflow Structure</t>
  </si>
  <si>
    <t>Outlet Pipe</t>
  </si>
  <si>
    <t>Internal Water Storage</t>
  </si>
  <si>
    <t xml:space="preserve">Depth: </t>
  </si>
  <si>
    <t xml:space="preserve">Drain Time: </t>
  </si>
  <si>
    <t>hrs</t>
  </si>
  <si>
    <t>Ponded Water</t>
  </si>
  <si>
    <t xml:space="preserve">Surface Area: </t>
  </si>
  <si>
    <r>
      <t>ft</t>
    </r>
    <r>
      <rPr>
        <vertAlign val="superscript"/>
        <sz val="10"/>
        <color theme="1"/>
        <rFont val="Calibri"/>
        <family val="2"/>
        <scheme val="minor"/>
      </rPr>
      <t>2</t>
    </r>
  </si>
  <si>
    <t>Stage-Area-Storage Summary</t>
  </si>
  <si>
    <t>The maintenance plan shall address the following:</t>
  </si>
  <si>
    <t xml:space="preserve"> Field Test Performed: </t>
  </si>
  <si>
    <t xml:space="preserve">Bottom EL: </t>
  </si>
  <si>
    <t xml:space="preserve">Top EL: </t>
  </si>
  <si>
    <t>Drain Time</t>
  </si>
  <si>
    <t xml:space="preserve">Int. Water Storage: </t>
  </si>
  <si>
    <t xml:space="preserve">Ponded Water: </t>
  </si>
  <si>
    <t xml:space="preserve"> No Overflow Structure</t>
  </si>
  <si>
    <t>General overview of the bioretention area</t>
  </si>
  <si>
    <t>Revision Date:</t>
  </si>
  <si>
    <t xml:space="preserve">Discharge Summary: </t>
  </si>
  <si>
    <t>Land slope exceeds the recommended 5% maximum</t>
  </si>
  <si>
    <t>Drain time exceeds the recommended 12 hours</t>
  </si>
  <si>
    <t>Drainage Area:</t>
  </si>
  <si>
    <t>Land Slope:</t>
  </si>
  <si>
    <t>Internal Water Storage:</t>
  </si>
  <si>
    <t>Ponded Water:</t>
  </si>
  <si>
    <t>Drainage area exceeds the recommended 5.0 acre maximum</t>
  </si>
  <si>
    <t>Jefferson</t>
  </si>
  <si>
    <t>Velocity
(ft/s)</t>
  </si>
  <si>
    <t>Velocity:</t>
  </si>
  <si>
    <t>Effective Date:</t>
  </si>
  <si>
    <t>1 February 2020</t>
  </si>
  <si>
    <t>1 October 2020</t>
  </si>
  <si>
    <t>1 October 2015</t>
  </si>
  <si>
    <t>1 July 2018</t>
  </si>
  <si>
    <t>Type:</t>
  </si>
  <si>
    <t>City</t>
  </si>
  <si>
    <t>County</t>
  </si>
  <si>
    <t>Maintenance Agreement:</t>
  </si>
  <si>
    <t xml:space="preserve"> Covenant</t>
  </si>
  <si>
    <t>Entity Type:</t>
  </si>
  <si>
    <t>Velocity</t>
  </si>
  <si>
    <t>Provides the required water quality volume (WQv);</t>
  </si>
  <si>
    <t xml:space="preserve">Post-development runoff mimics pre-development hydrology to the maximum extent practicable (MEP). </t>
  </si>
  <si>
    <t>Printing the form may require some adjustments to the print settings for the printer being used.</t>
  </si>
  <si>
    <t>Home Owners Association (HOA) Information</t>
  </si>
  <si>
    <t>The calculation methodology shall utilize the National Resource Conservation Resources (NRCS) Urban</t>
  </si>
  <si>
    <t>Site features to include but not limited to roads, rights-of-way, property lines, driveways, buildings, parking</t>
  </si>
  <si>
    <t>areas, fences, retaining walls, dumpster pads, etc.</t>
  </si>
  <si>
    <t>spillway, and outlet protection</t>
  </si>
  <si>
    <t>Current Logo</t>
  </si>
  <si>
    <t>This is a required field.  Once a number or text is entered, the green highlight will be removed.</t>
  </si>
  <si>
    <t>Elevation:</t>
  </si>
  <si>
    <t>Max Elev.
(ft)</t>
  </si>
  <si>
    <t xml:space="preserve">City: </t>
  </si>
  <si>
    <t>Comments?</t>
  </si>
  <si>
    <t>Permit Type:</t>
  </si>
  <si>
    <t>Engineering or Building No.</t>
  </si>
  <si>
    <t>Max Velocity:</t>
  </si>
  <si>
    <t>Drain time exceeds the recommended 96 hours</t>
  </si>
  <si>
    <t>Max Velocity</t>
  </si>
  <si>
    <t>Lookup Table</t>
  </si>
  <si>
    <t>E. Spillway Yes/No</t>
  </si>
  <si>
    <t>Emerg Spillway Yes/No</t>
  </si>
  <si>
    <t>Complete Design Form with the required design information.  Once the Design Form is completed, most of the Design section of the As-built Form will be prepopulated.</t>
  </si>
  <si>
    <t>Use the drop down list to select an orifice or weir.</t>
  </si>
  <si>
    <t xml:space="preserve">Weir: </t>
  </si>
  <si>
    <t xml:space="preserve">Insp Report Due: </t>
  </si>
  <si>
    <t>30 Septbember</t>
  </si>
  <si>
    <t>1 September</t>
  </si>
  <si>
    <t>Insp Report Due:</t>
  </si>
  <si>
    <t xml:space="preserve">Seal: </t>
  </si>
  <si>
    <t>ENG No.</t>
  </si>
  <si>
    <t>Arch</t>
  </si>
  <si>
    <t>Elliptical</t>
  </si>
  <si>
    <t>V-notch</t>
  </si>
  <si>
    <t>(50-yr)</t>
  </si>
  <si>
    <t>Storms:</t>
  </si>
  <si>
    <t>2, 5, 10, 25, 50, and 100</t>
  </si>
  <si>
    <r>
      <t>Total Post Q is &lt; -0.50 ft</t>
    </r>
    <r>
      <rPr>
        <vertAlign val="superscript"/>
        <sz val="10.8"/>
        <color theme="1"/>
        <rFont val="Calibri"/>
        <family val="2"/>
      </rPr>
      <t>3</t>
    </r>
    <r>
      <rPr>
        <sz val="11"/>
        <color theme="1"/>
        <rFont val="Calibri"/>
        <family val="2"/>
        <scheme val="minor"/>
      </rPr>
      <t>/s of Pre Q</t>
    </r>
  </si>
  <si>
    <r>
      <t>Peak Discharge (ft</t>
    </r>
    <r>
      <rPr>
        <vertAlign val="superscript"/>
        <sz val="8"/>
        <color theme="1"/>
        <rFont val="Calibri"/>
        <family val="2"/>
      </rPr>
      <t>3</t>
    </r>
    <r>
      <rPr>
        <sz val="10"/>
        <color theme="1"/>
        <rFont val="Calibri"/>
        <family val="2"/>
        <scheme val="minor"/>
      </rPr>
      <t>/s)</t>
    </r>
  </si>
  <si>
    <t>Design Questions</t>
  </si>
  <si>
    <t>Flooding</t>
  </si>
  <si>
    <t>The Master Plan shall include the following information:</t>
  </si>
  <si>
    <t>Property boundaries</t>
  </si>
  <si>
    <t>Conceptual lot layout by use type (i.e. residential, commercial, open space, etc.)</t>
  </si>
  <si>
    <t>Proposed roads</t>
  </si>
  <si>
    <t xml:space="preserve"> Master Plan</t>
  </si>
  <si>
    <t xml:space="preserve">Select Development Type: </t>
  </si>
  <si>
    <t xml:space="preserve"> Residential</t>
  </si>
  <si>
    <t xml:space="preserve">Number of Phases: </t>
  </si>
  <si>
    <t xml:space="preserve"> Final Plat</t>
  </si>
  <si>
    <t xml:space="preserve"> Commercial</t>
  </si>
  <si>
    <t xml:space="preserve">Number of Lots: </t>
  </si>
  <si>
    <t xml:space="preserve">Select Units: </t>
  </si>
  <si>
    <t xml:space="preserve"> ac</t>
  </si>
  <si>
    <t xml:space="preserve"> sq-ft</t>
  </si>
  <si>
    <t>Will all Phases or Lots be a member of the association?</t>
  </si>
  <si>
    <t>Imp. Area</t>
  </si>
  <si>
    <t xml:space="preserve">   Discharges to Pond?</t>
  </si>
  <si>
    <t xml:space="preserve">Total: </t>
  </si>
  <si>
    <t>Page 1 of 2</t>
  </si>
  <si>
    <t>Page 2 of 2</t>
  </si>
  <si>
    <t>By affixing my professional seal and signature on this form, I hereby certify that the proposed bioretention area was</t>
  </si>
  <si>
    <t>designed to accommodate the Phases and/or Lots included in this attachment.</t>
  </si>
  <si>
    <t>Location of bioretention area</t>
  </si>
  <si>
    <t>Emerg. Spillway</t>
  </si>
  <si>
    <t>Total</t>
  </si>
  <si>
    <t>Does the project drain to an area of known flooding?</t>
  </si>
  <si>
    <t xml:space="preserve">Does the project drain onto an adjacent property? </t>
  </si>
  <si>
    <t>Adj. Property</t>
  </si>
  <si>
    <t xml:space="preserve">Design Form Date: </t>
  </si>
  <si>
    <t>31 December</t>
  </si>
  <si>
    <r>
      <t>Photographs</t>
    </r>
    <r>
      <rPr>
        <sz val="10"/>
        <color theme="1"/>
        <rFont val="Calibri"/>
        <family val="2"/>
        <scheme val="minor"/>
      </rPr>
      <t xml:space="preserve"> </t>
    </r>
  </si>
  <si>
    <t>*Photographs shall be taken during construction of the underground detention system</t>
  </si>
  <si>
    <t>Caption, date, and/or description on all photographs</t>
  </si>
  <si>
    <t>No. Taken</t>
  </si>
  <si>
    <t>Date</t>
  </si>
  <si>
    <t>Outlet control structure</t>
  </si>
  <si>
    <t>Outfall to receiving stream / storm sewer</t>
  </si>
  <si>
    <t>*Underdrain pipe(s)</t>
  </si>
  <si>
    <t>*Overflow structure</t>
  </si>
  <si>
    <t>Page 1 of 5</t>
  </si>
  <si>
    <t>Page 2 of 5</t>
  </si>
  <si>
    <t>Page 3 of 5</t>
  </si>
  <si>
    <t>Page 4 of 5</t>
  </si>
  <si>
    <t>Page 5 of 5</t>
  </si>
  <si>
    <t>All required photographs are not provided</t>
  </si>
  <si>
    <t>Photographs:</t>
  </si>
  <si>
    <t xml:space="preserve">Contact Name: </t>
  </si>
  <si>
    <t>No. Storms:</t>
  </si>
  <si>
    <t>Known Flooding Req:</t>
  </si>
  <si>
    <t>T-shape</t>
  </si>
  <si>
    <t>Proposed</t>
  </si>
  <si>
    <t>Existing</t>
  </si>
  <si>
    <t>2.</t>
  </si>
  <si>
    <t>If a phase or lot has already been constructed, enter the amount of impervious area in the Existing Imp. Area column.</t>
  </si>
  <si>
    <t>Known Flooding Storm:</t>
  </si>
  <si>
    <t>Adj Property Req:</t>
  </si>
  <si>
    <t>Adj Property Storm:</t>
  </si>
  <si>
    <t>Req?</t>
  </si>
  <si>
    <t>Storm</t>
  </si>
  <si>
    <t>Q Lookup</t>
  </si>
  <si>
    <t>Property</t>
  </si>
  <si>
    <t>Pre Q Lookup Table</t>
  </si>
  <si>
    <t xml:space="preserve">Select Area Units: </t>
  </si>
  <si>
    <t xml:space="preserve">Total Area: </t>
  </si>
  <si>
    <t xml:space="preserve">EIA = </t>
  </si>
  <si>
    <t>ac</t>
  </si>
  <si>
    <t xml:space="preserve">Existing Impervious Area (EIA): </t>
  </si>
  <si>
    <t xml:space="preserve">PIA = </t>
  </si>
  <si>
    <t>Units Check</t>
  </si>
  <si>
    <t xml:space="preserve">AIA = </t>
  </si>
  <si>
    <t>ac or sq-ft selection</t>
  </si>
  <si>
    <t>Form 2F.1 - Permeable Pavement
Design Form</t>
  </si>
  <si>
    <t>Permeable Pavement</t>
  </si>
  <si>
    <t xml:space="preserve"> Permeable Pavers</t>
  </si>
  <si>
    <t xml:space="preserve"> Pervious Concrete</t>
  </si>
  <si>
    <t xml:space="preserve"> Inverted Underdrain</t>
  </si>
  <si>
    <t xml:space="preserve"> Other</t>
  </si>
  <si>
    <t xml:space="preserve"> No Infiltration</t>
  </si>
  <si>
    <t xml:space="preserve"> Full Infiltration</t>
  </si>
  <si>
    <t xml:space="preserve"> Partial Infiltration</t>
  </si>
  <si>
    <t xml:space="preserve"> Reinforcement Grids</t>
  </si>
  <si>
    <t xml:space="preserve">Infiltration Rate: </t>
  </si>
  <si>
    <t xml:space="preserve">Permeable Pavement: </t>
  </si>
  <si>
    <t xml:space="preserve">Choking Layer: </t>
  </si>
  <si>
    <t xml:space="preserve">Reservoir Layer: </t>
  </si>
  <si>
    <t xml:space="preserve">Filter Layer: </t>
  </si>
  <si>
    <t xml:space="preserve">Improved Subgrade: </t>
  </si>
  <si>
    <t>Surface Area</t>
  </si>
  <si>
    <t>Volume</t>
  </si>
  <si>
    <t>Porosity</t>
  </si>
  <si>
    <t xml:space="preserve">Separation Geotextile: </t>
  </si>
  <si>
    <t>Observation Well(s)</t>
  </si>
  <si>
    <t xml:space="preserve"> No Observation Well(s)</t>
  </si>
  <si>
    <t xml:space="preserve">No.: </t>
  </si>
  <si>
    <t>All applicable developments shall be responsible for ensuring that post-development hydrology mimics</t>
  </si>
  <si>
    <t xml:space="preserve">The latest version of the Alabama Low Impact Development Handbook for the State of Alabama is </t>
  </si>
  <si>
    <t>incorporated by reference.</t>
  </si>
  <si>
    <t>Applicable design requirements include but are not limited to the following:</t>
  </si>
  <si>
    <t xml:space="preserve">Soils shall have a minimum infiltration rate of 0.5 inches/hour as determined by an </t>
  </si>
  <si>
    <t xml:space="preserve">infiltration test.  An underdrain system shall be used when soils have an infiltration rate </t>
  </si>
  <si>
    <t xml:space="preserve">Permeable pavement systems shall not be designed to infiltrate into soils with high </t>
  </si>
  <si>
    <t>shrink/swell potential due to a high risk of subsurface and surface movement.</t>
  </si>
  <si>
    <t xml:space="preserve">The runoff volume captured by the stormwater management system shall drain away </t>
  </si>
  <si>
    <t>from the underlying soil within 24 to 48 hours.</t>
  </si>
  <si>
    <t xml:space="preserve">The seasonally high-water table shall be a minimum of 2-feet below the reservoir layer </t>
  </si>
  <si>
    <t>to allow water to properly water to exfiltrate from the stormwater management system.</t>
  </si>
  <si>
    <t>Slopes greater than 2% are not recommended.</t>
  </si>
  <si>
    <r>
      <t xml:space="preserve">of </t>
    </r>
    <r>
      <rPr>
        <u/>
        <sz val="10"/>
        <color theme="1"/>
        <rFont val="Calibri"/>
        <family val="2"/>
        <scheme val="minor"/>
      </rPr>
      <t>&lt;</t>
    </r>
    <r>
      <rPr>
        <sz val="10"/>
        <color theme="1"/>
        <rFont val="Calibri"/>
        <family val="2"/>
        <scheme val="minor"/>
      </rPr>
      <t xml:space="preserve"> 0.5 inches/hour.</t>
    </r>
  </si>
  <si>
    <t xml:space="preserve">Stormwater runoff directed to permeable pavement shall be from impervious surface </t>
  </si>
  <si>
    <t xml:space="preserve">areas.  The ratio of impervious surface area to the permeable pavement surface areas </t>
  </si>
  <si>
    <t>shall not be greater than 3:1.</t>
  </si>
  <si>
    <t>Routine Inspections for Deterioration</t>
  </si>
  <si>
    <t>Routine Inspections for Sediment</t>
  </si>
  <si>
    <t>Inspecting Adjacent Pervious Areas</t>
  </si>
  <si>
    <t>Routine Sweeping</t>
  </si>
  <si>
    <t>Sediment Removal</t>
  </si>
  <si>
    <t>Stabilizing Adjacent Pervious Areas</t>
  </si>
  <si>
    <t>Form 2F.2 - Permeable Pavement
Design Form Attachment</t>
  </si>
  <si>
    <t>Will the permeable pavement be maintained by an association?</t>
  </si>
  <si>
    <t>Is the permeable pavement located on a separate lot?</t>
  </si>
  <si>
    <t>Form 3F - Permeable Pavement
As-Built Certification Form</t>
  </si>
  <si>
    <t xml:space="preserve">Drainage Area </t>
  </si>
  <si>
    <t>Lat Text</t>
  </si>
  <si>
    <t>Long Text</t>
  </si>
  <si>
    <t>Latitude and/or Longitude has been entered as text.  Change to a number.</t>
  </si>
  <si>
    <t>Will future development phases discharge into the permeable pavement?  Complete Form 2F.2.</t>
  </si>
  <si>
    <t>Form 2F.2 - Permeable Pavement Design Form Attachment is attached?</t>
  </si>
  <si>
    <t>Does the permeable pavement discharge into an existing storm sewer (i.e. pipe, concrete swale, etc.)?</t>
  </si>
  <si>
    <t xml:space="preserve">Parcel No.: </t>
  </si>
  <si>
    <t>Post-development discharges shall be less than pre-development discharges at all discharge locations.</t>
  </si>
  <si>
    <t>Provide the velocity at the end of any velocity dissipation device.</t>
  </si>
  <si>
    <t xml:space="preserve">H&amp;H calculations shall include all the information required to validate information provided on this form i.e. model </t>
  </si>
  <si>
    <t xml:space="preserve">network, existing drainage areas, proposed drainage areas, time of concentration, curve number, pre-development </t>
  </si>
  <si>
    <t xml:space="preserve">peak discharges, post-development peak discharges, outlet structure geometry, emergency spillway geometry, </t>
  </si>
  <si>
    <t>Master Plan drawing shall include the following:</t>
  </si>
  <si>
    <t>Conceptual lot layout</t>
  </si>
  <si>
    <t>The boundary and designation of each phase and/or lot</t>
  </si>
  <si>
    <t>Property boundary</t>
  </si>
  <si>
    <t>Contours with adequate contour labels</t>
  </si>
  <si>
    <t>Existing structures, roads, storm sewers, stormwater management facilities, etc.</t>
  </si>
  <si>
    <t>Supporting calculations for proposed and existing impervious areas</t>
  </si>
  <si>
    <t>Parcel No. has not been provided</t>
  </si>
  <si>
    <t>Parcel No.:</t>
  </si>
  <si>
    <t>By affixing my professional seal and signature on this form, I hereby certify that the permeable pavement:</t>
  </si>
  <si>
    <t>Permeable Pavement:</t>
  </si>
  <si>
    <t xml:space="preserve"> Porous Asphalt</t>
  </si>
  <si>
    <t xml:space="preserve"> Permeable Interlocking Concrete Pavers</t>
  </si>
  <si>
    <t xml:space="preserve"> Concrete Grid Pavers</t>
  </si>
  <si>
    <t xml:space="preserve">Design: </t>
  </si>
  <si>
    <t xml:space="preserve">Type:  </t>
  </si>
  <si>
    <t xml:space="preserve">Geotextile: </t>
  </si>
  <si>
    <t xml:space="preserve">Perforated Pipe: </t>
  </si>
  <si>
    <t xml:space="preserve">Outlet Pipe: </t>
  </si>
  <si>
    <t xml:space="preserve"> None</t>
  </si>
  <si>
    <t xml:space="preserve">No. Wells: </t>
  </si>
  <si>
    <t>General overview</t>
  </si>
  <si>
    <t>*Improved Subgrade</t>
  </si>
  <si>
    <t>*Filter layer</t>
  </si>
  <si>
    <t>*Reservoir layer</t>
  </si>
  <si>
    <t>*Choking layer</t>
  </si>
  <si>
    <t>*Observation Well(s)</t>
  </si>
  <si>
    <t>*Separation Geotextile</t>
  </si>
  <si>
    <t>By affixing my professional seal and signature on this form, I hereby certify that the permeable pavement has been constructed in accordance with the approved design.  I further certify that the drainage areas shown in the approved hydrology and hydraulic (H&amp;H) calculations do in fact drain to the permeable pavement and that the post-development runoff mimics pre-development hydrology to the maximum extent practicable (MEP).</t>
  </si>
  <si>
    <t>Will not adversely impact and/or cause flooding of structures within, upstream, and/or downstream of the</t>
  </si>
  <si>
    <t>development;</t>
  </si>
  <si>
    <t>Drainage areas shown in the hydrology and hydraulic (H&amp;H) calculations drain into the underground detention</t>
  </si>
  <si>
    <t>system; and,</t>
  </si>
  <si>
    <t>Spillage agreement</t>
  </si>
  <si>
    <t>If a proposed development discharges onto an adjacent property, the proposed development shall:</t>
  </si>
  <si>
    <t>Agreement Type:</t>
  </si>
  <si>
    <t>Known Flooding Storm &lt;:</t>
  </si>
  <si>
    <t>Adj Property Storm&lt;:</t>
  </si>
  <si>
    <t>Known or Adj Storm</t>
  </si>
  <si>
    <t>Requirements</t>
  </si>
  <si>
    <t>Question</t>
  </si>
  <si>
    <t>5, 10, 25, 50, and 100</t>
  </si>
  <si>
    <t>10, 25, 50, and 100</t>
  </si>
  <si>
    <t>25, 50, and 100</t>
  </si>
  <si>
    <t>50 and 100</t>
  </si>
  <si>
    <t>Known or Adj Design Storm:</t>
  </si>
  <si>
    <t>Known or Adj Design Storm&lt;:</t>
  </si>
  <si>
    <t>Outlet Protection</t>
  </si>
  <si>
    <t>Riprap apron</t>
  </si>
  <si>
    <t>Concrete flume with baffles</t>
  </si>
  <si>
    <t>Concrete box with chambers</t>
  </si>
  <si>
    <t>Concrete box with baffles</t>
  </si>
  <si>
    <t>Pre-manufactured product</t>
  </si>
  <si>
    <t>Outlet Protection:</t>
  </si>
  <si>
    <t>Outlet protection section not completed</t>
  </si>
  <si>
    <t>Will the detention pond discharge to a channel?</t>
  </si>
  <si>
    <t>Will the detention pond discharge to an area of sheet flow?</t>
  </si>
  <si>
    <t>Will a level spreader be used?</t>
  </si>
  <si>
    <t>Design Storm</t>
  </si>
  <si>
    <t xml:space="preserve">BMP ID: </t>
  </si>
  <si>
    <t>The intent of this form is to document the phases of development that will utilize the detention pond</t>
  </si>
  <si>
    <t>Max Stage for 2, 5, 10, 25, and/or 50-year storm  &gt; emergency spillway crest elevation</t>
  </si>
  <si>
    <t xml:space="preserve">Effective Date: </t>
  </si>
  <si>
    <t xml:space="preserve">Acceptance (required): </t>
  </si>
  <si>
    <t>I ACCEPT</t>
  </si>
  <si>
    <t xml:space="preserve">Expiration Date: </t>
  </si>
  <si>
    <t xml:space="preserve">Current Status: </t>
  </si>
  <si>
    <t xml:space="preserve">IMPORTANT - READ BEFORE USE: </t>
  </si>
  <si>
    <t xml:space="preserve">Administrator Code (Hidden): </t>
  </si>
  <si>
    <t>Workbook Lock Configuration</t>
  </si>
  <si>
    <t xml:space="preserve">Lock Date: </t>
  </si>
  <si>
    <t xml:space="preserve">Active Months: </t>
  </si>
  <si>
    <t xml:space="preserve">Override LockD and Time: </t>
  </si>
  <si>
    <t xml:space="preserve">Admin Unlock Code: </t>
  </si>
  <si>
    <t xml:space="preserve">Computed Lock Date and Time: </t>
  </si>
  <si>
    <t xml:space="preserve">Accepted Flag: </t>
  </si>
  <si>
    <t xml:space="preserve">Gate OK: </t>
  </si>
  <si>
    <t>Acceptance Table</t>
  </si>
  <si>
    <t>Selection Required</t>
  </si>
  <si>
    <t>I DO NOT ACCEPT</t>
  </si>
  <si>
    <t>Baldwin County</t>
  </si>
  <si>
    <t>Entity:</t>
  </si>
  <si>
    <t>the City of Hoover</t>
  </si>
  <si>
    <t>Jefferson County</t>
  </si>
  <si>
    <t>the City of Mobile</t>
  </si>
  <si>
    <t>the City of Montgomery</t>
  </si>
  <si>
    <t>the City of Prattville</t>
  </si>
  <si>
    <t>Licensor grants the User a non-exclusive, non-transferable, non-sublicensable, revocable license to use the Tool soley to prepare</t>
  </si>
  <si>
    <t>submissions.  All other uses, including redistribution, public posting, training, or use for other agencies, are prohibited unless</t>
  </si>
  <si>
    <t>Ownership; No Work-for-Hire</t>
  </si>
  <si>
    <t>The Tool is licensed, not sold.  Licensor retains all right, title, and interest in and to the Tool, including all formulas, code,</t>
  </si>
  <si>
    <t>templates, and documentation.  The Tool is not a work made for hire and no implied licenses are granted.</t>
  </si>
  <si>
    <t>Restrictions</t>
  </si>
  <si>
    <t>Suspension and Termination</t>
  </si>
  <si>
    <t>Public Records Acknowledgment</t>
  </si>
  <si>
    <t>Disclaimers; Limitation of Liability</t>
  </si>
  <si>
    <t>Injunctive Relief</t>
  </si>
  <si>
    <t>Unathorized use, copying, or distribution of the Tool will cause irreparable harm for which monetary damages are inadequate;</t>
  </si>
  <si>
    <t>Licensor may seek injunctive relief in addition to other remedies.</t>
  </si>
  <si>
    <t>Acceptance</t>
  </si>
  <si>
    <t>As-Built does not match Design, provide a reason in the Comments section</t>
  </si>
  <si>
    <t>bds958hc</t>
  </si>
  <si>
    <t>Phase ID</t>
  </si>
  <si>
    <t xml:space="preserve">The User shall not and shall not permit others to: (a) copy, modify, decompile, or reverse-engineer the Tool; (b) remove proprietary </t>
  </si>
  <si>
    <t>Licensor may suspend immediately if the Tool is misused, compromised, or used in a manner creating security, legal, or reputational risk.</t>
  </si>
  <si>
    <t>The Tool is provided "AS IS".  Licensor disclaims all warranties, express or implied (including merchantability, fitness for a particular</t>
  </si>
  <si>
    <t>special, consequential, or punitive damages.</t>
  </si>
  <si>
    <t>-yr</t>
  </si>
  <si>
    <t>Level Spreader design documentation is attached.</t>
  </si>
  <si>
    <t>This form is for all phases associated with the BMP identified on the form</t>
  </si>
  <si>
    <t xml:space="preserve"> O&amp;M Plan</t>
  </si>
  <si>
    <t>Drainage Rights</t>
  </si>
  <si>
    <t>a Release Agreement</t>
  </si>
  <si>
    <t>a Spillage Agreement</t>
  </si>
  <si>
    <t>Permeable Pavement (PP)</t>
  </si>
  <si>
    <r>
      <t>PP In Q
(ft</t>
    </r>
    <r>
      <rPr>
        <vertAlign val="superscript"/>
        <sz val="8"/>
        <color theme="1"/>
        <rFont val="Calibri"/>
        <family val="2"/>
      </rPr>
      <t>3</t>
    </r>
    <r>
      <rPr>
        <sz val="10"/>
        <color theme="1"/>
        <rFont val="Calibri"/>
        <family val="2"/>
        <scheme val="minor"/>
      </rPr>
      <t>/s)</t>
    </r>
  </si>
  <si>
    <r>
      <t>PP Out Q 
(ft</t>
    </r>
    <r>
      <rPr>
        <vertAlign val="superscript"/>
        <sz val="8"/>
        <color theme="1"/>
        <rFont val="Calibri"/>
        <family val="2"/>
      </rPr>
      <t>3</t>
    </r>
    <r>
      <rPr>
        <sz val="10"/>
        <color theme="1"/>
        <rFont val="Calibri"/>
        <family val="2"/>
        <scheme val="minor"/>
      </rPr>
      <t>/s)</t>
    </r>
  </si>
  <si>
    <t>PP = Permeable Pavement</t>
  </si>
  <si>
    <t>END USER LICENSE AGREEMENT (EULA)</t>
  </si>
  <si>
    <r>
      <t>This workbook and its embedded logic, validators, and scripts (collectively, the "</t>
    </r>
    <r>
      <rPr>
        <b/>
        <sz val="12"/>
        <color theme="1"/>
        <rFont val="Calibri"/>
        <family val="2"/>
      </rPr>
      <t>Tool</t>
    </r>
    <r>
      <rPr>
        <sz val="12"/>
        <color theme="1"/>
        <rFont val="Calibri"/>
        <family val="2"/>
        <scheme val="minor"/>
      </rPr>
      <t xml:space="preserve">") are proprietary to </t>
    </r>
    <r>
      <rPr>
        <b/>
        <sz val="12"/>
        <color theme="1"/>
        <rFont val="Calibri"/>
        <family val="2"/>
        <scheme val="minor"/>
      </rPr>
      <t>Hydro, LLC</t>
    </r>
    <r>
      <rPr>
        <sz val="12"/>
        <color theme="1"/>
        <rFont val="Calibri"/>
        <family val="2"/>
        <scheme val="minor"/>
      </rPr>
      <t xml:space="preserve"> ("</t>
    </r>
    <r>
      <rPr>
        <b/>
        <sz val="12"/>
        <color theme="1"/>
        <rFont val="Calibri"/>
        <family val="2"/>
        <scheme val="minor"/>
      </rPr>
      <t>Licensor</t>
    </r>
    <r>
      <rPr>
        <sz val="12"/>
        <color theme="1"/>
        <rFont val="Calibri"/>
        <family val="2"/>
        <scheme val="minor"/>
      </rPr>
      <t>").</t>
    </r>
  </si>
  <si>
    <t>maintaining internal records for that submittal; and (b) you have authority to bind your organization ("User").  If you are not</t>
  </si>
  <si>
    <t>authorized, do not use the Tool.</t>
  </si>
  <si>
    <t>Limited License</t>
  </si>
  <si>
    <t>agreed in writing.</t>
  </si>
  <si>
    <t>notices, logos, or watermarks; (c) bypass or disable protections; or (d) redistribute the Tool to third parties (other than submitting filled</t>
  </si>
  <si>
    <t>the permitted purpose.</t>
  </si>
  <si>
    <t>Upon expiration/termination, User shall stop using the Tool, but may retain archive copies of completed submissions an records</t>
  </si>
  <si>
    <t>created during the Term.</t>
  </si>
  <si>
    <t>(including templates, code, logic) remains Licensor's proprietary material and is not a public record merely by being used to creat submittions.</t>
  </si>
  <si>
    <t>regulations control.  User is solely responsible for the accuracy and completeness of all data and deliverables.</t>
  </si>
  <si>
    <t>No Professional Services; User Responsibility</t>
  </si>
  <si>
    <t>purpose, and non-infringement.)  To the  Maximum extent permitted by law, Licensor will not be liable for indirect, incidental,</t>
  </si>
  <si>
    <t>Feedback</t>
  </si>
  <si>
    <t>Suggestions or feedback may be used by Licensor without restriction or obligation.</t>
  </si>
  <si>
    <t>Governing Law</t>
  </si>
  <si>
    <t>This License is governed by the laws of Alabama, without regard to conflicts principles.  The exclusive venue is the state or federal</t>
  </si>
  <si>
    <t>courts located in Lee County, Alabama.</t>
  </si>
  <si>
    <t>General</t>
  </si>
  <si>
    <t>This is the entire agreement regarding the Tool, and supersedes prior or contemporaneous terms.  If any provision is unenforceable,</t>
  </si>
  <si>
    <t>it will be limited or severed to the minimum extent necessary.  User may not assign this License without Licensor's consent;</t>
  </si>
  <si>
    <t>Licensor may assign in connection with a merger, acquisition, or sale of assets.  Lecensor may issue updated version of the</t>
  </si>
  <si>
    <t>Tool subject to updated terms, use of a new version constitutes acceptance of its terms.</t>
  </si>
  <si>
    <r>
      <t>By clicking "</t>
    </r>
    <r>
      <rPr>
        <b/>
        <sz val="12"/>
        <color theme="1"/>
        <rFont val="Calibri"/>
        <family val="2"/>
      </rPr>
      <t>I ACCEPT</t>
    </r>
    <r>
      <rPr>
        <sz val="12"/>
        <color theme="1"/>
        <rFont val="Calibri"/>
        <family val="2"/>
        <scheme val="minor"/>
      </rPr>
      <t>", you agree to this License on behalf of your organization.</t>
    </r>
  </si>
  <si>
    <t>Permeable pavement cannot be constructed within the floodway</t>
  </si>
  <si>
    <t>properties located within, upstream, and/or downstream of the development</t>
  </si>
  <si>
    <t>Installation of permeable pavement shall not adversely impact and/or cause  flooding of</t>
  </si>
  <si>
    <t>A stormwater pathway (i.e. piped storm sewer, overland flow, etc.) within the development shall</t>
  </si>
  <si>
    <t>be provided to convey the discharge resulting from a 100-year, 24-hour storm event in a manner that will not</t>
  </si>
  <si>
    <t>adversely impact and/or cause flooding of structures within the development</t>
  </si>
  <si>
    <t>stage-area storage summary, pond discharge summary, inflow and outflow hydrographs, and outlet  velocities.</t>
  </si>
  <si>
    <t>Perform a field survey of the constructed permeable pavement; and,</t>
  </si>
  <si>
    <t>Location of the permeable pavement, contours, spot elevations, outlet structure, outlet pipe, emergency</t>
  </si>
  <si>
    <t>Use the as-built survey data to complete Form 3E – Permeable Pavement As-built Certification Form;</t>
  </si>
  <si>
    <t>Caption identifying the date, location, and description of the photograph</t>
  </si>
  <si>
    <t>Permeable pavement system components during construction</t>
  </si>
  <si>
    <t>Emergency spillway and discharge location, if applicable</t>
  </si>
  <si>
    <t>Location where the permeable pavement discharges into receiving stream, culvert, or channel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</si>
</sst>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64" formatCode="[$-409]d\-mmm\-yy;@"/>
    <numFmt numFmtId="165" formatCode="0.000000"/>
    <numFmt numFmtId="166" formatCode="0."/>
    <numFmt numFmtId="167" formatCode="#,##0.000000"/>
    <numFmt numFmtId="168" formatCode="[$-409]d\ mmmm\ yyyy;@"/>
    <numFmt numFmtId="169" formatCode="[$-409]dd\ mmmm\ yyyy;@"/>
    <numFmt numFmtId="170" formatCode="[&lt;=9999999]###\-####;\(###\)\ ###\-####"/>
    <numFmt numFmtId="171" formatCode="\-0.000000"/>
    <numFmt numFmtId="172" formatCode="\-#,##0.000000"/>
    <numFmt numFmtId="173" formatCode="#,##0.000"/>
    <numFmt numFmtId="174" formatCode="[$-409]mmmm\ d\,\ yyyy;@"/>
    <numFmt numFmtId="175" formatCode="#,##0.0000"/>
    <numFmt numFmtId="176" formatCode="00\ 00\ 00\ 0\ 000\ 000.000"/>
    <numFmt numFmtId="177" formatCode="[$-409]dd\ mmmm\ yyyy\ h:mm\ AM/PM;@"/>
    <numFmt numFmtId="178" formatCode="0\)"/>
  </numFmts>
  <fonts count="33" x14ac:knownFonts="1">
    <font>
      <sz val="11"/>
      <color theme="1"/>
      <name val="Calibri"/>
      <family val="2"/>
      <scheme val="minor"/>
    </font>
    <font>
      <b/>
      <u/>
      <sz val="12"/>
      <color theme="1"/>
      <name val="Calibri"/>
      <family val="2"/>
      <scheme val="minor"/>
    </font>
    <font>
      <b/>
      <sz val="18"/>
      <color theme="1"/>
      <name val="Calibri"/>
      <family val="2"/>
      <scheme val="minor"/>
    </font>
    <font>
      <sz val="10"/>
      <color theme="1"/>
      <name val="Calibri"/>
      <family val="2"/>
      <scheme val="minor"/>
    </font>
    <font>
      <vertAlign val="subscript"/>
      <sz val="10"/>
      <color theme="1"/>
      <name val="Calibri"/>
      <family val="2"/>
    </font>
    <font>
      <b/>
      <sz val="10"/>
      <color theme="1"/>
      <name val="Calibri"/>
      <family val="2"/>
      <scheme val="minor"/>
    </font>
    <font>
      <vertAlign val="superscript"/>
      <sz val="10"/>
      <color theme="1"/>
      <name val="Calibri"/>
      <family val="2"/>
    </font>
    <font>
      <vertAlign val="superscript"/>
      <sz val="8"/>
      <color theme="1"/>
      <name val="Calibri"/>
      <family val="2"/>
    </font>
    <font>
      <u/>
      <sz val="10"/>
      <color theme="1"/>
      <name val="Calibri"/>
      <family val="2"/>
      <scheme val="minor"/>
    </font>
    <font>
      <b/>
      <sz val="12"/>
      <color theme="1"/>
      <name val="Calibri"/>
      <family val="2"/>
      <scheme val="minor"/>
    </font>
    <font>
      <vertAlign val="subscript"/>
      <sz val="15"/>
      <color theme="1"/>
      <name val="Calibri"/>
      <family val="2"/>
    </font>
    <font>
      <u/>
      <sz val="11"/>
      <color theme="10"/>
      <name val="Calibri"/>
      <family val="2"/>
      <scheme val="minor"/>
    </font>
    <font>
      <b/>
      <u/>
      <sz val="10"/>
      <color theme="1"/>
      <name val="Calibri"/>
      <family val="2"/>
      <scheme val="minor"/>
    </font>
    <font>
      <vertAlign val="subscript"/>
      <sz val="11"/>
      <color theme="1"/>
      <name val="Calibri"/>
      <family val="2"/>
      <scheme val="minor"/>
    </font>
    <font>
      <b/>
      <u/>
      <sz val="16"/>
      <color theme="1"/>
      <name val="Calibri"/>
      <family val="2"/>
      <scheme val="minor"/>
    </font>
    <font>
      <sz val="12"/>
      <color theme="1"/>
      <name val="Calibri"/>
      <family val="2"/>
      <scheme val="minor"/>
    </font>
    <font>
      <u/>
      <sz val="12"/>
      <color theme="1"/>
      <name val="Calibri"/>
      <family val="2"/>
      <scheme val="minor"/>
    </font>
    <font>
      <sz val="11"/>
      <color theme="1"/>
      <name val="Calibri"/>
      <family val="2"/>
    </font>
    <font>
      <sz val="9"/>
      <color theme="1"/>
      <name val="Calibri"/>
      <family val="2"/>
      <scheme val="minor"/>
    </font>
    <font>
      <vertAlign val="superscript"/>
      <sz val="9"/>
      <color theme="1"/>
      <name val="Calibri"/>
      <family val="2"/>
    </font>
    <font>
      <vertAlign val="subscript"/>
      <sz val="10"/>
      <color theme="1"/>
      <name val="Calibri"/>
      <family val="2"/>
      <scheme val="minor"/>
    </font>
    <font>
      <u/>
      <sz val="10"/>
      <color theme="10"/>
      <name val="Calibri"/>
      <family val="2"/>
      <scheme val="minor"/>
    </font>
    <font>
      <sz val="14"/>
      <color theme="1"/>
      <name val="Calibri"/>
      <family val="2"/>
      <scheme val="minor"/>
    </font>
    <font>
      <vertAlign val="superscript"/>
      <sz val="10"/>
      <color theme="1"/>
      <name val="Calibri"/>
      <family val="2"/>
      <scheme val="minor"/>
    </font>
    <font>
      <sz val="8"/>
      <name val="Calibri"/>
      <family val="2"/>
      <scheme val="minor"/>
    </font>
    <font>
      <sz val="10"/>
      <color theme="1"/>
      <name val="Calibri"/>
      <family val="2"/>
    </font>
    <font>
      <sz val="9"/>
      <color indexed="81"/>
      <name val="Tahoma"/>
      <family val="2"/>
    </font>
    <font>
      <b/>
      <sz val="9"/>
      <color indexed="81"/>
      <name val="Tahoma"/>
      <family val="2"/>
    </font>
    <font>
      <vertAlign val="superscript"/>
      <sz val="10.8"/>
      <color theme="1"/>
      <name val="Calibri"/>
      <family val="2"/>
    </font>
    <font>
      <b/>
      <sz val="11"/>
      <color theme="1"/>
      <name val="Calibri"/>
      <family val="2"/>
      <scheme val="minor"/>
    </font>
    <font>
      <sz val="11"/>
      <color theme="1"/>
      <name val="Calibri"/>
      <family val="2"/>
      <scheme val="minor"/>
    </font>
    <font>
      <b/>
      <sz val="11"/>
      <color theme="0"/>
      <name val="Calibri"/>
      <family val="2"/>
      <scheme val="minor"/>
    </font>
    <font>
      <b/>
      <sz val="12"/>
      <color theme="1"/>
      <name val="Calibri"/>
      <family val="2"/>
    </font>
  </fonts>
  <fills count="10">
    <fill>
      <patternFill patternType="none"/>
    </fill>
    <fill>
      <patternFill patternType="gray125"/>
    </fill>
    <fill>
      <patternFill patternType="solid">
        <fgColor theme="7" tint="0.59996337778862885"/>
        <bgColor indexed="64"/>
      </patternFill>
    </fill>
    <fill>
      <patternFill patternType="solid">
        <fgColor theme="8" tint="0.59996337778862885"/>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0" tint="-0.14996795556505021"/>
        <bgColor indexed="64"/>
      </patternFill>
    </fill>
    <fill>
      <patternFill patternType="solid">
        <fgColor rgb="FFFFFFCC"/>
        <bgColor indexed="64"/>
      </patternFill>
    </fill>
    <fill>
      <patternFill patternType="solid">
        <fgColor theme="4"/>
        <bgColor theme="4"/>
      </patternFill>
    </fill>
    <fill>
      <patternFill patternType="solid">
        <fgColor theme="7" tint="0.79998168889431442"/>
        <bgColor indexed="64"/>
      </patternFill>
    </fill>
  </fills>
  <borders count="28">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right/>
      <top style="thin">
        <color auto="1"/>
      </top>
      <bottom style="double">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right style="medium">
        <color auto="1"/>
      </right>
      <top/>
      <bottom/>
      <diagonal/>
    </border>
    <border>
      <left style="thin">
        <color auto="1"/>
      </left>
      <right/>
      <top style="thin">
        <color auto="1"/>
      </top>
      <bottom style="thin">
        <color indexed="64"/>
      </bottom>
      <diagonal/>
    </border>
    <border>
      <left/>
      <right style="thin">
        <color indexed="64"/>
      </right>
      <top style="thin">
        <color indexed="64"/>
      </top>
      <bottom style="thin">
        <color indexed="64"/>
      </bottom>
      <diagonal/>
    </border>
    <border>
      <left/>
      <right style="thick">
        <color auto="1"/>
      </right>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4506668294322"/>
      </left>
      <right/>
      <top style="thin">
        <color theme="4" tint="0.39994506668294322"/>
      </top>
      <bottom/>
      <diagonal/>
    </border>
    <border>
      <left/>
      <right style="thin">
        <color theme="4" tint="0.39994506668294322"/>
      </right>
      <top style="thin">
        <color theme="4" tint="0.39994506668294322"/>
      </top>
      <bottom/>
      <diagonal/>
    </border>
    <border>
      <left style="thin">
        <color theme="4" tint="0.39994506668294322"/>
      </left>
      <right/>
      <top/>
      <bottom/>
      <diagonal/>
    </border>
    <border>
      <left style="hair">
        <color auto="1"/>
      </left>
      <right style="thin">
        <color theme="4" tint="0.39994506668294322"/>
      </right>
      <top style="hair">
        <color auto="1"/>
      </top>
      <bottom style="hair">
        <color auto="1"/>
      </bottom>
      <diagonal/>
    </border>
    <border>
      <left/>
      <right style="thin">
        <color theme="4" tint="0.39994506668294322"/>
      </right>
      <top/>
      <bottom/>
      <diagonal/>
    </border>
    <border>
      <left style="thin">
        <color theme="4" tint="0.39994506668294322"/>
      </left>
      <right/>
      <top/>
      <bottom style="thin">
        <color theme="4" tint="0.39994506668294322"/>
      </bottom>
      <diagonal/>
    </border>
    <border>
      <left/>
      <right style="thin">
        <color theme="4" tint="0.39994506668294322"/>
      </right>
      <top/>
      <bottom style="thin">
        <color theme="4" tint="0.39994506668294322"/>
      </bottom>
      <diagonal/>
    </border>
    <border>
      <left style="medium">
        <color auto="1"/>
      </left>
      <right/>
      <top/>
      <bottom/>
      <diagonal/>
    </border>
  </borders>
  <cellStyleXfs count="3">
    <xf numFmtId="0" fontId="0" fillId="0" borderId="0"/>
    <xf numFmtId="0" fontId="11" fillId="0" borderId="0" applyNumberFormat="0" applyFill="0" applyBorder="0" applyAlignment="0" applyProtection="0"/>
    <xf numFmtId="9" fontId="30" fillId="0" borderId="0" applyFont="0" applyFill="0" applyBorder="0" applyAlignment="0" applyProtection="0"/>
  </cellStyleXfs>
  <cellXfs count="265">
    <xf numFmtId="0" fontId="0" fillId="0" borderId="0" xfId="0"/>
    <xf numFmtId="0" fontId="1" fillId="0" borderId="0" xfId="0" applyFont="1" applyAlignment="1">
      <alignment vertical="center"/>
    </xf>
    <xf numFmtId="0" fontId="3" fillId="0" borderId="0" xfId="0" applyFont="1" applyAlignment="1">
      <alignment horizontal="right" vertical="center"/>
    </xf>
    <xf numFmtId="0" fontId="5" fillId="0" borderId="0" xfId="0" applyFont="1" applyAlignment="1">
      <alignment vertical="center" wrapText="1"/>
    </xf>
    <xf numFmtId="0" fontId="3" fillId="0" borderId="0" xfId="0" applyFont="1" applyAlignment="1">
      <alignment horizontal="center" vertical="center"/>
    </xf>
    <xf numFmtId="0" fontId="9" fillId="0" borderId="0" xfId="0" applyFont="1" applyAlignment="1">
      <alignment vertical="center"/>
    </xf>
    <xf numFmtId="4" fontId="3" fillId="0" borderId="0" xfId="0" applyNumberFormat="1" applyFont="1" applyAlignment="1" applyProtection="1">
      <alignment vertical="center"/>
      <protection hidden="1"/>
    </xf>
    <xf numFmtId="0" fontId="3" fillId="4" borderId="0" xfId="0" applyFont="1" applyFill="1" applyAlignment="1">
      <alignment vertical="center"/>
    </xf>
    <xf numFmtId="0" fontId="3" fillId="4" borderId="0" xfId="0" applyFont="1" applyFill="1" applyAlignment="1">
      <alignment horizontal="right" vertical="center"/>
    </xf>
    <xf numFmtId="0" fontId="3" fillId="0" borderId="0" xfId="0" applyFont="1" applyAlignment="1">
      <alignment horizontal="left" vertical="center"/>
    </xf>
    <xf numFmtId="0" fontId="3" fillId="6" borderId="0" xfId="0" applyFont="1" applyFill="1" applyAlignment="1">
      <alignment vertical="center"/>
    </xf>
    <xf numFmtId="166" fontId="15" fillId="0" borderId="0" xfId="0" applyNumberFormat="1" applyFont="1" applyAlignment="1">
      <alignment horizontal="center" vertical="center"/>
    </xf>
    <xf numFmtId="0" fontId="15" fillId="0" borderId="0" xfId="0" applyFont="1" applyAlignment="1">
      <alignment vertical="center"/>
    </xf>
    <xf numFmtId="0" fontId="15" fillId="0" borderId="1" xfId="0" applyFont="1" applyBorder="1" applyAlignment="1">
      <alignment horizontal="center" vertical="center"/>
    </xf>
    <xf numFmtId="4" fontId="15" fillId="0" borderId="1" xfId="0" applyNumberFormat="1" applyFont="1" applyBorder="1" applyAlignment="1">
      <alignment vertical="center"/>
    </xf>
    <xf numFmtId="0" fontId="16" fillId="2" borderId="1" xfId="0" applyFont="1" applyFill="1" applyBorder="1" applyAlignment="1">
      <alignment vertical="center"/>
    </xf>
    <xf numFmtId="0" fontId="15" fillId="5" borderId="1" xfId="0" applyFont="1" applyFill="1" applyBorder="1" applyAlignment="1">
      <alignment vertical="center"/>
    </xf>
    <xf numFmtId="0" fontId="9" fillId="0" borderId="0" xfId="0" applyFont="1" applyAlignment="1">
      <alignment horizontal="left" vertical="center"/>
    </xf>
    <xf numFmtId="0" fontId="3" fillId="0" borderId="11" xfId="0" applyFont="1" applyBorder="1" applyAlignment="1">
      <alignment horizontal="center" vertical="center"/>
    </xf>
    <xf numFmtId="0" fontId="3" fillId="0" borderId="11" xfId="0" applyFont="1" applyBorder="1" applyAlignment="1" applyProtection="1">
      <alignment horizontal="center" vertical="center"/>
      <protection locked="0"/>
    </xf>
    <xf numFmtId="0" fontId="3" fillId="6" borderId="0" xfId="0" applyFont="1" applyFill="1" applyAlignment="1">
      <alignment horizontal="center" vertical="center"/>
    </xf>
    <xf numFmtId="166" fontId="3" fillId="0" borderId="0" xfId="0" applyNumberFormat="1" applyFont="1" applyAlignment="1">
      <alignment horizontal="center" vertical="center"/>
    </xf>
    <xf numFmtId="0" fontId="2" fillId="0" borderId="0" xfId="0" applyFont="1" applyAlignment="1">
      <alignment vertical="center" wrapText="1"/>
    </xf>
    <xf numFmtId="0" fontId="2" fillId="0" borderId="0" xfId="0" applyFont="1" applyAlignment="1">
      <alignment horizontal="right" vertical="center" wrapText="1"/>
    </xf>
    <xf numFmtId="166" fontId="0" fillId="0" borderId="0" xfId="0" applyNumberFormat="1" applyAlignment="1">
      <alignment horizontal="center" vertical="center"/>
    </xf>
    <xf numFmtId="0" fontId="0" fillId="0" borderId="0" xfId="0" applyAlignment="1">
      <alignment vertical="center"/>
    </xf>
    <xf numFmtId="0" fontId="3" fillId="0" borderId="0" xfId="0" applyFont="1" applyAlignment="1">
      <alignment vertical="center"/>
    </xf>
    <xf numFmtId="2" fontId="3" fillId="0" borderId="0" xfId="0" applyNumberFormat="1" applyFont="1" applyAlignment="1">
      <alignment horizontal="right" vertical="center"/>
    </xf>
    <xf numFmtId="2" fontId="3" fillId="0" borderId="0" xfId="0" applyNumberFormat="1" applyFont="1" applyAlignment="1">
      <alignment vertical="center"/>
    </xf>
    <xf numFmtId="0" fontId="3" fillId="0" borderId="0" xfId="0" applyFont="1" applyAlignment="1">
      <alignment horizontal="right"/>
    </xf>
    <xf numFmtId="0" fontId="12" fillId="0" borderId="0" xfId="0" applyFont="1" applyAlignment="1">
      <alignment vertical="center"/>
    </xf>
    <xf numFmtId="165" fontId="3" fillId="0" borderId="0" xfId="0" applyNumberFormat="1" applyFont="1" applyAlignment="1">
      <alignment vertical="center"/>
    </xf>
    <xf numFmtId="3" fontId="3" fillId="0" borderId="0" xfId="0" applyNumberFormat="1" applyFont="1" applyAlignment="1">
      <alignment vertical="center"/>
    </xf>
    <xf numFmtId="4" fontId="3" fillId="0" borderId="0" xfId="0" applyNumberFormat="1" applyFont="1" applyAlignment="1">
      <alignment vertical="center"/>
    </xf>
    <xf numFmtId="0" fontId="3" fillId="0" borderId="0" xfId="0" applyFont="1" applyAlignment="1">
      <alignment horizontal="right" vertical="center" indent="1"/>
    </xf>
    <xf numFmtId="3" fontId="3" fillId="0" borderId="0" xfId="0" applyNumberFormat="1" applyFont="1" applyAlignment="1">
      <alignment horizontal="right" vertical="center"/>
    </xf>
    <xf numFmtId="0" fontId="18" fillId="0" borderId="0" xfId="0" applyFont="1" applyAlignment="1">
      <alignment horizontal="center" vertical="center" wrapText="1"/>
    </xf>
    <xf numFmtId="0" fontId="11" fillId="0" borderId="0" xfId="1" applyBorder="1" applyAlignment="1" applyProtection="1">
      <alignment horizontal="left" vertical="center"/>
    </xf>
    <xf numFmtId="0" fontId="5" fillId="4" borderId="5" xfId="0" applyFont="1" applyFill="1" applyBorder="1" applyAlignment="1">
      <alignment vertical="center"/>
    </xf>
    <xf numFmtId="0" fontId="3" fillId="4" borderId="3" xfId="0" applyFont="1" applyFill="1" applyBorder="1" applyAlignment="1">
      <alignment vertical="center"/>
    </xf>
    <xf numFmtId="0" fontId="3" fillId="4" borderId="6" xfId="0" applyFont="1" applyFill="1" applyBorder="1" applyAlignment="1">
      <alignment vertical="center"/>
    </xf>
    <xf numFmtId="0" fontId="3" fillId="4" borderId="7" xfId="0" applyFont="1" applyFill="1" applyBorder="1" applyAlignment="1">
      <alignment vertical="center"/>
    </xf>
    <xf numFmtId="0" fontId="12" fillId="4" borderId="0" xfId="0" applyFont="1" applyFill="1" applyAlignment="1">
      <alignment horizontal="right" vertical="center"/>
    </xf>
    <xf numFmtId="0" fontId="12" fillId="4" borderId="0" xfId="0" applyFont="1" applyFill="1" applyAlignment="1">
      <alignment vertical="center"/>
    </xf>
    <xf numFmtId="0" fontId="3" fillId="4" borderId="8" xfId="0" applyFont="1" applyFill="1" applyBorder="1" applyAlignment="1">
      <alignment vertical="center"/>
    </xf>
    <xf numFmtId="0" fontId="3" fillId="4" borderId="9" xfId="0" applyFont="1" applyFill="1" applyBorder="1" applyAlignment="1">
      <alignment vertical="center"/>
    </xf>
    <xf numFmtId="0" fontId="3" fillId="4" borderId="1" xfId="0" applyFont="1" applyFill="1" applyBorder="1" applyAlignment="1">
      <alignment vertical="center"/>
    </xf>
    <xf numFmtId="0" fontId="3" fillId="4" borderId="1" xfId="0" applyFont="1" applyFill="1" applyBorder="1" applyAlignment="1">
      <alignment horizontal="right" vertical="center"/>
    </xf>
    <xf numFmtId="0" fontId="3" fillId="4" borderId="10" xfId="0" applyFont="1" applyFill="1" applyBorder="1" applyAlignment="1">
      <alignment vertical="center"/>
    </xf>
    <xf numFmtId="166" fontId="14" fillId="0" borderId="0" xfId="0" applyNumberFormat="1" applyFont="1" applyAlignment="1">
      <alignment vertical="center"/>
    </xf>
    <xf numFmtId="0" fontId="3" fillId="6" borderId="0" xfId="0" applyFont="1" applyFill="1" applyAlignment="1">
      <alignment horizontal="left" vertical="center"/>
    </xf>
    <xf numFmtId="0" fontId="15" fillId="0" borderId="0" xfId="0" applyFont="1" applyAlignment="1">
      <alignment horizontal="left" vertical="center" wrapText="1"/>
    </xf>
    <xf numFmtId="0" fontId="15" fillId="0" borderId="0" xfId="0" applyFont="1" applyAlignment="1">
      <alignment vertical="center" wrapText="1"/>
    </xf>
    <xf numFmtId="0" fontId="3" fillId="0" borderId="0" xfId="0" applyFont="1" applyAlignment="1">
      <alignment vertical="top" wrapText="1"/>
    </xf>
    <xf numFmtId="0" fontId="1" fillId="0" borderId="0" xfId="0" applyFont="1" applyAlignment="1">
      <alignment horizontal="left" vertical="center"/>
    </xf>
    <xf numFmtId="0" fontId="15" fillId="0" borderId="11" xfId="0" applyFont="1" applyBorder="1" applyAlignment="1" applyProtection="1">
      <alignment horizontal="center" vertical="center"/>
      <protection locked="0"/>
    </xf>
    <xf numFmtId="0" fontId="5" fillId="4" borderId="3" xfId="0" applyFont="1" applyFill="1" applyBorder="1" applyAlignment="1">
      <alignment vertical="center"/>
    </xf>
    <xf numFmtId="165" fontId="3" fillId="0" borderId="0" xfId="0" applyNumberFormat="1" applyFont="1" applyAlignment="1" applyProtection="1">
      <alignment vertical="center"/>
      <protection hidden="1"/>
    </xf>
    <xf numFmtId="0" fontId="17" fillId="0" borderId="0" xfId="0" applyFont="1" applyAlignment="1">
      <alignment horizontal="center" vertical="center"/>
    </xf>
    <xf numFmtId="0" fontId="0" fillId="0" borderId="0" xfId="0" applyAlignment="1">
      <alignment vertical="top" wrapText="1"/>
    </xf>
    <xf numFmtId="0" fontId="0" fillId="0" borderId="0" xfId="0" applyAlignment="1">
      <alignment vertical="top"/>
    </xf>
    <xf numFmtId="0" fontId="3" fillId="0" borderId="3" xfId="0" applyFont="1" applyBorder="1" applyAlignment="1">
      <alignment vertical="center"/>
    </xf>
    <xf numFmtId="0" fontId="11" fillId="0" borderId="0" xfId="1" applyBorder="1" applyAlignment="1" applyProtection="1">
      <alignment vertical="center"/>
    </xf>
    <xf numFmtId="166" fontId="3" fillId="0" borderId="0" xfId="0" applyNumberFormat="1" applyFont="1" applyAlignment="1">
      <alignment vertical="center"/>
    </xf>
    <xf numFmtId="0" fontId="2" fillId="6" borderId="0" xfId="0" applyFont="1" applyFill="1" applyAlignment="1">
      <alignment vertical="center" wrapText="1"/>
    </xf>
    <xf numFmtId="0" fontId="2" fillId="0" borderId="0" xfId="0" applyFont="1" applyAlignment="1">
      <alignment vertical="center"/>
    </xf>
    <xf numFmtId="0" fontId="3" fillId="6" borderId="0" xfId="0" applyFont="1" applyFill="1" applyAlignment="1">
      <alignment horizontal="right" vertical="center"/>
    </xf>
    <xf numFmtId="1" fontId="3" fillId="0" borderId="0" xfId="0" applyNumberFormat="1" applyFont="1" applyAlignment="1">
      <alignment vertical="center"/>
    </xf>
    <xf numFmtId="1" fontId="3" fillId="6" borderId="0" xfId="0" applyNumberFormat="1" applyFont="1" applyFill="1" applyAlignment="1">
      <alignment vertical="center"/>
    </xf>
    <xf numFmtId="3" fontId="3" fillId="0" borderId="3" xfId="0" applyNumberFormat="1" applyFont="1" applyBorder="1" applyAlignment="1">
      <alignment horizontal="right" vertical="center"/>
    </xf>
    <xf numFmtId="0" fontId="3" fillId="0" borderId="0" xfId="0" applyFont="1" applyAlignment="1">
      <alignment horizontal="center" vertical="center" wrapText="1"/>
    </xf>
    <xf numFmtId="0" fontId="3" fillId="0" borderId="0" xfId="0" applyFont="1" applyAlignment="1">
      <alignment horizontal="left" vertical="top" wrapText="1"/>
    </xf>
    <xf numFmtId="0" fontId="8" fillId="0" borderId="0" xfId="0" applyFont="1" applyAlignment="1">
      <alignment vertical="center"/>
    </xf>
    <xf numFmtId="166" fontId="0" fillId="0" borderId="0" xfId="0" applyNumberFormat="1" applyAlignment="1">
      <alignment horizontal="center" vertical="top"/>
    </xf>
    <xf numFmtId="0" fontId="0" fillId="0" borderId="0" xfId="0" applyAlignment="1">
      <alignment horizontal="left" vertical="top" wrapText="1"/>
    </xf>
    <xf numFmtId="0" fontId="0" fillId="0" borderId="0" xfId="0" applyAlignment="1">
      <alignment horizontal="center" vertical="top" wrapText="1"/>
    </xf>
    <xf numFmtId="0" fontId="3" fillId="0" borderId="13" xfId="0" applyFont="1" applyBorder="1" applyAlignment="1">
      <alignment vertical="center"/>
    </xf>
    <xf numFmtId="0" fontId="0" fillId="0" borderId="0" xfId="0" applyAlignment="1">
      <alignment horizontal="right" vertical="center"/>
    </xf>
    <xf numFmtId="0" fontId="3" fillId="0" borderId="1" xfId="0" applyFont="1" applyBorder="1" applyAlignment="1">
      <alignment vertical="center"/>
    </xf>
    <xf numFmtId="0" fontId="3" fillId="4" borderId="0" xfId="0" applyFont="1" applyFill="1" applyAlignment="1">
      <alignment horizontal="left" vertical="center"/>
    </xf>
    <xf numFmtId="0" fontId="0" fillId="0" borderId="0" xfId="0" applyAlignment="1">
      <alignment horizontal="center"/>
    </xf>
    <xf numFmtId="2" fontId="0" fillId="0" borderId="0" xfId="0" applyNumberFormat="1"/>
    <xf numFmtId="0" fontId="0" fillId="0" borderId="0" xfId="0" applyAlignment="1">
      <alignment horizontal="right"/>
    </xf>
    <xf numFmtId="0" fontId="3" fillId="0" borderId="0" xfId="0" applyFont="1" applyAlignment="1">
      <alignment vertical="top"/>
    </xf>
    <xf numFmtId="0" fontId="3" fillId="0" borderId="0" xfId="0" applyFont="1" applyAlignment="1">
      <alignment vertical="center" wrapText="1"/>
    </xf>
    <xf numFmtId="0" fontId="3" fillId="0" borderId="0" xfId="0" applyFont="1"/>
    <xf numFmtId="166" fontId="3" fillId="0" borderId="0" xfId="0" applyNumberFormat="1" applyFont="1" applyAlignment="1">
      <alignment horizontal="center" vertical="top"/>
    </xf>
    <xf numFmtId="0" fontId="3" fillId="0" borderId="0" xfId="0" applyFont="1" applyAlignment="1">
      <alignment horizontal="center" vertical="top" wrapText="1"/>
    </xf>
    <xf numFmtId="0" fontId="25" fillId="0" borderId="0" xfId="0" applyFont="1" applyAlignment="1">
      <alignment horizontal="center" vertical="center"/>
    </xf>
    <xf numFmtId="0" fontId="3" fillId="6" borderId="11" xfId="0" applyFont="1" applyFill="1" applyBorder="1" applyAlignment="1">
      <alignment horizontal="center" vertical="center"/>
    </xf>
    <xf numFmtId="0" fontId="3" fillId="6" borderId="3" xfId="0" applyFont="1" applyFill="1" applyBorder="1" applyAlignment="1">
      <alignment horizontal="center" vertical="center"/>
    </xf>
    <xf numFmtId="0" fontId="9" fillId="6" borderId="0" xfId="0" applyFont="1" applyFill="1" applyAlignment="1">
      <alignment horizontal="center" vertical="center"/>
    </xf>
    <xf numFmtId="0" fontId="5" fillId="4" borderId="0" xfId="0" applyFont="1" applyFill="1" applyAlignment="1">
      <alignment horizontal="right" vertical="center"/>
    </xf>
    <xf numFmtId="3" fontId="3" fillId="6" borderId="11" xfId="0" applyNumberFormat="1" applyFont="1" applyFill="1" applyBorder="1" applyAlignment="1">
      <alignment horizontal="center" vertical="center"/>
    </xf>
    <xf numFmtId="1" fontId="3" fillId="6" borderId="11" xfId="0" applyNumberFormat="1" applyFont="1" applyFill="1" applyBorder="1" applyAlignment="1">
      <alignment horizontal="center" vertical="center"/>
    </xf>
    <xf numFmtId="2" fontId="3" fillId="6" borderId="11" xfId="0" applyNumberFormat="1" applyFont="1" applyFill="1" applyBorder="1" applyAlignment="1">
      <alignment horizontal="center" vertical="center"/>
    </xf>
    <xf numFmtId="0" fontId="9" fillId="6" borderId="0" xfId="0" applyFont="1" applyFill="1" applyAlignment="1">
      <alignment horizontal="right" vertical="center"/>
    </xf>
    <xf numFmtId="0" fontId="29" fillId="0" borderId="0" xfId="0" applyFont="1"/>
    <xf numFmtId="0" fontId="3" fillId="0" borderId="3" xfId="0" applyFont="1" applyBorder="1" applyAlignment="1">
      <alignment horizontal="right" vertical="center"/>
    </xf>
    <xf numFmtId="0" fontId="15" fillId="0" borderId="11" xfId="0" applyFont="1" applyBorder="1" applyAlignment="1">
      <alignment horizontal="center" vertical="center"/>
    </xf>
    <xf numFmtId="0" fontId="3" fillId="6" borderId="2" xfId="0" applyFont="1" applyFill="1" applyBorder="1" applyAlignment="1">
      <alignment horizontal="center" vertical="center"/>
    </xf>
    <xf numFmtId="0" fontId="0" fillId="0" borderId="0" xfId="0" applyAlignment="1">
      <alignment vertical="center" wrapText="1"/>
    </xf>
    <xf numFmtId="166" fontId="0" fillId="0" borderId="0" xfId="0" applyNumberFormat="1" applyAlignment="1">
      <alignment vertical="center"/>
    </xf>
    <xf numFmtId="0" fontId="22" fillId="0" borderId="0" xfId="0" applyFont="1" applyAlignment="1">
      <alignment horizontal="center" vertical="center"/>
    </xf>
    <xf numFmtId="0" fontId="3" fillId="0" borderId="8" xfId="0" applyFont="1" applyBorder="1" applyAlignment="1">
      <alignment vertical="center"/>
    </xf>
    <xf numFmtId="166" fontId="3" fillId="0" borderId="0" xfId="0" applyNumberFormat="1" applyFont="1" applyAlignment="1">
      <alignment horizontal="left" vertical="center"/>
    </xf>
    <xf numFmtId="173" fontId="3" fillId="0" borderId="0" xfId="0" applyNumberFormat="1" applyFont="1" applyAlignment="1">
      <alignment horizontal="right" vertical="center"/>
    </xf>
    <xf numFmtId="0" fontId="15" fillId="0" borderId="0" xfId="0" applyFont="1" applyAlignment="1">
      <alignment horizontal="center" vertical="center"/>
    </xf>
    <xf numFmtId="3" fontId="3" fillId="0" borderId="0" xfId="0" applyNumberFormat="1" applyFont="1" applyAlignment="1">
      <alignment horizontal="center" vertical="center"/>
    </xf>
    <xf numFmtId="0" fontId="5" fillId="4" borderId="1" xfId="0" applyFont="1" applyFill="1" applyBorder="1" applyAlignment="1">
      <alignment horizontal="right" vertical="center"/>
    </xf>
    <xf numFmtId="0" fontId="3" fillId="4" borderId="1" xfId="0" applyFont="1" applyFill="1" applyBorder="1" applyAlignment="1">
      <alignment horizontal="left" vertical="center"/>
    </xf>
    <xf numFmtId="1" fontId="0" fillId="0" borderId="0" xfId="0" applyNumberFormat="1" applyAlignment="1">
      <alignment horizontal="center"/>
    </xf>
    <xf numFmtId="166" fontId="3" fillId="0" borderId="0" xfId="0" quotePrefix="1" applyNumberFormat="1" applyFont="1" applyAlignment="1">
      <alignment horizontal="center" vertical="center"/>
    </xf>
    <xf numFmtId="0" fontId="3" fillId="6" borderId="15" xfId="0" applyFont="1" applyFill="1" applyBorder="1" applyAlignment="1">
      <alignment horizontal="center" vertical="center"/>
    </xf>
    <xf numFmtId="0" fontId="3" fillId="6" borderId="7" xfId="0" applyFont="1" applyFill="1" applyBorder="1" applyAlignment="1">
      <alignment horizontal="center" vertical="center"/>
    </xf>
    <xf numFmtId="0" fontId="3" fillId="6" borderId="8" xfId="0" applyFont="1" applyFill="1" applyBorder="1" applyAlignment="1">
      <alignment horizontal="center" vertical="center"/>
    </xf>
    <xf numFmtId="0" fontId="3" fillId="6" borderId="7" xfId="0" applyFont="1" applyFill="1" applyBorder="1" applyAlignment="1">
      <alignment vertical="center"/>
    </xf>
    <xf numFmtId="4" fontId="3" fillId="6" borderId="8" xfId="0" applyNumberFormat="1" applyFont="1" applyFill="1" applyBorder="1" applyAlignment="1">
      <alignment vertical="center"/>
    </xf>
    <xf numFmtId="0" fontId="3" fillId="6" borderId="9" xfId="0" applyFont="1" applyFill="1" applyBorder="1" applyAlignment="1">
      <alignment vertical="center"/>
    </xf>
    <xf numFmtId="4" fontId="3" fillId="6" borderId="10" xfId="0" applyNumberFormat="1" applyFont="1" applyFill="1" applyBorder="1" applyAlignment="1">
      <alignment vertical="center"/>
    </xf>
    <xf numFmtId="2" fontId="3" fillId="6" borderId="15" xfId="0" applyNumberFormat="1" applyFont="1" applyFill="1" applyBorder="1" applyAlignment="1">
      <alignment horizontal="center" vertical="center"/>
    </xf>
    <xf numFmtId="0" fontId="5" fillId="3" borderId="3" xfId="0" applyFont="1" applyFill="1" applyBorder="1" applyAlignment="1">
      <alignment horizontal="right" vertical="center"/>
    </xf>
    <xf numFmtId="2" fontId="3" fillId="6" borderId="0" xfId="0" applyNumberFormat="1" applyFont="1" applyFill="1" applyAlignment="1">
      <alignment horizontal="center" vertical="center"/>
    </xf>
    <xf numFmtId="1" fontId="3" fillId="6" borderId="0" xfId="0" applyNumberFormat="1" applyFont="1" applyFill="1" applyAlignment="1">
      <alignment horizontal="center" vertical="center"/>
    </xf>
    <xf numFmtId="175" fontId="3" fillId="6" borderId="11" xfId="0" applyNumberFormat="1" applyFont="1" applyFill="1" applyBorder="1" applyAlignment="1">
      <alignment vertical="center"/>
    </xf>
    <xf numFmtId="1" fontId="3" fillId="0" borderId="3" xfId="0" applyNumberFormat="1" applyFont="1" applyBorder="1" applyAlignment="1">
      <alignment vertical="center"/>
    </xf>
    <xf numFmtId="168" fontId="0" fillId="7" borderId="12" xfId="0" applyNumberFormat="1" applyFill="1" applyBorder="1" applyAlignment="1">
      <alignment horizontal="center"/>
    </xf>
    <xf numFmtId="0" fontId="0" fillId="7" borderId="12" xfId="0" applyFill="1" applyBorder="1" applyAlignment="1">
      <alignment horizontal="center"/>
    </xf>
    <xf numFmtId="2" fontId="0" fillId="0" borderId="0" xfId="0" applyNumberFormat="1" applyAlignment="1">
      <alignment horizontal="center"/>
    </xf>
    <xf numFmtId="169" fontId="0" fillId="0" borderId="0" xfId="0" applyNumberFormat="1" applyAlignment="1">
      <alignment horizontal="center"/>
    </xf>
    <xf numFmtId="168" fontId="0" fillId="0" borderId="0" xfId="0" applyNumberFormat="1" applyAlignment="1">
      <alignment horizontal="center"/>
    </xf>
    <xf numFmtId="2" fontId="0" fillId="0" borderId="0" xfId="0" applyNumberFormat="1" applyAlignment="1">
      <alignment horizontal="center" vertical="center"/>
    </xf>
    <xf numFmtId="169" fontId="0" fillId="0" borderId="0" xfId="0" quotePrefix="1" applyNumberFormat="1" applyAlignment="1">
      <alignment horizontal="center"/>
    </xf>
    <xf numFmtId="168" fontId="0" fillId="0" borderId="0" xfId="0" quotePrefix="1" applyNumberFormat="1" applyAlignment="1">
      <alignment horizontal="center"/>
    </xf>
    <xf numFmtId="0" fontId="1" fillId="6" borderId="0" xfId="0" applyFont="1" applyFill="1" applyAlignment="1">
      <alignment horizontal="center" vertical="center"/>
    </xf>
    <xf numFmtId="0" fontId="0" fillId="6" borderId="0" xfId="0" applyFill="1" applyAlignment="1">
      <alignment horizontal="center" vertical="center"/>
    </xf>
    <xf numFmtId="0" fontId="5" fillId="0" borderId="0" xfId="0" applyFont="1" applyAlignment="1">
      <alignment vertical="center"/>
    </xf>
    <xf numFmtId="0" fontId="0" fillId="0" borderId="0" xfId="0" applyAlignment="1">
      <alignment horizontal="center" vertical="center"/>
    </xf>
    <xf numFmtId="1" fontId="0" fillId="0" borderId="0" xfId="0" applyNumberFormat="1" applyAlignment="1">
      <alignment horizontal="center" vertical="center"/>
    </xf>
    <xf numFmtId="0" fontId="3" fillId="0" borderId="16" xfId="0" applyFont="1" applyBorder="1" applyAlignment="1">
      <alignment vertical="center"/>
    </xf>
    <xf numFmtId="0" fontId="3" fillId="0" borderId="16" xfId="0" applyFont="1" applyBorder="1" applyAlignment="1">
      <alignment horizontal="right" vertical="center"/>
    </xf>
    <xf numFmtId="3" fontId="3" fillId="6" borderId="0" xfId="0" applyNumberFormat="1" applyFont="1" applyFill="1" applyAlignment="1">
      <alignment horizontal="center" vertical="center"/>
    </xf>
    <xf numFmtId="4" fontId="3" fillId="6" borderId="0" xfId="0" applyNumberFormat="1" applyFont="1" applyFill="1" applyAlignment="1">
      <alignment vertical="center"/>
    </xf>
    <xf numFmtId="1" fontId="3" fillId="6" borderId="15" xfId="0" applyNumberFormat="1" applyFont="1" applyFill="1" applyBorder="1" applyAlignment="1">
      <alignment horizontal="center" vertical="center"/>
    </xf>
    <xf numFmtId="0" fontId="9" fillId="0" borderId="0" xfId="0" applyFont="1" applyAlignment="1">
      <alignment horizontal="right" vertical="center"/>
    </xf>
    <xf numFmtId="0" fontId="15" fillId="6" borderId="0" xfId="0" applyFont="1" applyFill="1" applyAlignment="1">
      <alignment vertical="center"/>
    </xf>
    <xf numFmtId="0" fontId="9" fillId="0" borderId="11" xfId="0" applyFont="1" applyBorder="1" applyAlignment="1" applyProtection="1">
      <alignment horizontal="center" vertical="center"/>
      <protection locked="0"/>
    </xf>
    <xf numFmtId="0" fontId="15" fillId="6" borderId="11" xfId="0" applyFont="1" applyFill="1" applyBorder="1" applyAlignment="1">
      <alignment horizontal="center" vertical="center"/>
    </xf>
    <xf numFmtId="0" fontId="15" fillId="6" borderId="0" xfId="0" applyFont="1" applyFill="1" applyAlignment="1">
      <alignment horizontal="center" vertical="center"/>
    </xf>
    <xf numFmtId="0" fontId="0" fillId="0" borderId="20" xfId="0" applyBorder="1" applyAlignment="1">
      <alignment horizontal="right" vertical="center"/>
    </xf>
    <xf numFmtId="177" fontId="0" fillId="0" borderId="21" xfId="0" applyNumberFormat="1" applyBorder="1" applyAlignment="1">
      <alignment horizontal="center"/>
    </xf>
    <xf numFmtId="0" fontId="0" fillId="0" borderId="22" xfId="0" applyBorder="1" applyAlignment="1">
      <alignment horizontal="right" vertical="center"/>
    </xf>
    <xf numFmtId="0" fontId="0" fillId="9" borderId="23" xfId="0" applyFill="1" applyBorder="1" applyAlignment="1">
      <alignment horizontal="center"/>
    </xf>
    <xf numFmtId="177" fontId="0" fillId="9" borderId="12" xfId="0" applyNumberFormat="1" applyFill="1" applyBorder="1" applyAlignment="1">
      <alignment horizontal="center"/>
    </xf>
    <xf numFmtId="177" fontId="0" fillId="0" borderId="24" xfId="0" applyNumberFormat="1" applyBorder="1" applyAlignment="1">
      <alignment horizontal="center"/>
    </xf>
    <xf numFmtId="0" fontId="0" fillId="0" borderId="24" xfId="0" applyBorder="1" applyAlignment="1">
      <alignment horizontal="center"/>
    </xf>
    <xf numFmtId="0" fontId="0" fillId="0" borderId="25" xfId="0" applyBorder="1" applyAlignment="1">
      <alignment horizontal="right" vertical="center"/>
    </xf>
    <xf numFmtId="0" fontId="0" fillId="0" borderId="26" xfId="0" applyBorder="1" applyAlignment="1">
      <alignment horizontal="center"/>
    </xf>
    <xf numFmtId="0" fontId="31" fillId="8" borderId="17" xfId="0" applyFont="1" applyFill="1" applyBorder="1" applyAlignment="1">
      <alignment horizontal="center" vertical="center"/>
    </xf>
    <xf numFmtId="169" fontId="0" fillId="0" borderId="0" xfId="0" quotePrefix="1" applyNumberFormat="1" applyAlignment="1">
      <alignment horizontal="center" vertical="center"/>
    </xf>
    <xf numFmtId="168" fontId="0" fillId="0" borderId="0" xfId="0" quotePrefix="1" applyNumberFormat="1" applyAlignment="1">
      <alignment horizontal="center" vertical="center"/>
    </xf>
    <xf numFmtId="0" fontId="0" fillId="0" borderId="0" xfId="0" applyAlignment="1">
      <alignment horizontal="right" vertical="center" indent="1"/>
    </xf>
    <xf numFmtId="166" fontId="15" fillId="6" borderId="0" xfId="0" applyNumberFormat="1" applyFont="1" applyFill="1" applyAlignment="1">
      <alignment horizontal="center" vertical="center"/>
    </xf>
    <xf numFmtId="0" fontId="15" fillId="0" borderId="0" xfId="0" applyFont="1" applyAlignment="1">
      <alignment vertical="top" wrapText="1"/>
    </xf>
    <xf numFmtId="178" fontId="9" fillId="0" borderId="0" xfId="0" applyNumberFormat="1" applyFont="1" applyAlignment="1">
      <alignment horizontal="right" vertical="center"/>
    </xf>
    <xf numFmtId="178" fontId="9" fillId="0" borderId="0" xfId="0" applyNumberFormat="1" applyFont="1" applyAlignment="1">
      <alignment vertical="center"/>
    </xf>
    <xf numFmtId="0" fontId="3" fillId="0" borderId="0" xfId="0" quotePrefix="1" applyFont="1" applyAlignment="1">
      <alignment vertical="center"/>
    </xf>
    <xf numFmtId="0" fontId="29" fillId="0" borderId="0" xfId="0" applyFont="1" applyAlignment="1">
      <alignment horizontal="right" vertical="center"/>
    </xf>
    <xf numFmtId="0" fontId="3" fillId="0" borderId="1" xfId="0" applyFont="1" applyBorder="1" applyAlignment="1" applyProtection="1">
      <alignment vertical="center"/>
      <protection locked="0"/>
    </xf>
    <xf numFmtId="0" fontId="3" fillId="0" borderId="27" xfId="0" applyFont="1" applyBorder="1" applyAlignment="1">
      <alignment vertical="center"/>
    </xf>
    <xf numFmtId="0" fontId="31" fillId="8" borderId="18" xfId="0" applyFont="1" applyFill="1" applyBorder="1" applyAlignment="1">
      <alignment horizontal="center" vertical="center"/>
    </xf>
    <xf numFmtId="0" fontId="31" fillId="8" borderId="19" xfId="0" applyFont="1" applyFill="1" applyBorder="1" applyAlignment="1">
      <alignment horizontal="center" vertical="center"/>
    </xf>
    <xf numFmtId="169" fontId="15" fillId="0" borderId="0" xfId="0" applyNumberFormat="1" applyFont="1" applyAlignment="1">
      <alignment horizontal="left" vertical="center"/>
    </xf>
    <xf numFmtId="0" fontId="29" fillId="0" borderId="0" xfId="0" applyFont="1" applyAlignment="1">
      <alignment vertical="center" wrapText="1"/>
    </xf>
    <xf numFmtId="0" fontId="15" fillId="0" borderId="0" xfId="0" applyFont="1" applyAlignment="1">
      <alignment horizontal="left" vertical="center" wrapText="1"/>
    </xf>
    <xf numFmtId="0" fontId="15" fillId="0" borderId="0" xfId="0" applyFont="1" applyAlignment="1">
      <alignment horizontal="left" vertical="top" wrapText="1"/>
    </xf>
    <xf numFmtId="0" fontId="3" fillId="6" borderId="14" xfId="0" applyFont="1" applyFill="1" applyBorder="1" applyAlignment="1">
      <alignment horizontal="left" vertical="center"/>
    </xf>
    <xf numFmtId="0" fontId="3" fillId="6" borderId="15" xfId="0" applyFont="1" applyFill="1" applyBorder="1" applyAlignment="1">
      <alignment horizontal="left" vertical="center"/>
    </xf>
    <xf numFmtId="10" fontId="3" fillId="0" borderId="2" xfId="0" applyNumberFormat="1" applyFont="1" applyBorder="1" applyAlignment="1" applyProtection="1">
      <alignment horizontal="right" vertical="center"/>
      <protection locked="0"/>
    </xf>
    <xf numFmtId="0" fontId="3" fillId="0" borderId="1" xfId="0" applyFont="1" applyBorder="1" applyAlignment="1" applyProtection="1">
      <alignment horizontal="left" vertical="center"/>
      <protection locked="0"/>
    </xf>
    <xf numFmtId="4" fontId="3" fillId="0" borderId="1" xfId="0" applyNumberFormat="1" applyFont="1" applyBorder="1" applyAlignment="1" applyProtection="1">
      <alignment horizontal="right" vertical="center"/>
      <protection locked="0"/>
    </xf>
    <xf numFmtId="0" fontId="3" fillId="0" borderId="0" xfId="0" applyFont="1" applyAlignment="1">
      <alignment horizontal="left" vertical="center"/>
    </xf>
    <xf numFmtId="4" fontId="3" fillId="0" borderId="2" xfId="0" applyNumberFormat="1" applyFont="1" applyBorder="1" applyAlignment="1" applyProtection="1">
      <alignment horizontal="right" vertical="center"/>
      <protection locked="0"/>
    </xf>
    <xf numFmtId="2" fontId="3" fillId="0" borderId="2" xfId="0" applyNumberFormat="1" applyFont="1" applyBorder="1" applyAlignment="1" applyProtection="1">
      <alignment horizontal="right" vertical="center"/>
      <protection locked="0"/>
    </xf>
    <xf numFmtId="1" fontId="3" fillId="0" borderId="2" xfId="0" applyNumberFormat="1" applyFont="1" applyBorder="1" applyAlignment="1" applyProtection="1">
      <alignment horizontal="right" vertical="center"/>
      <protection locked="0"/>
    </xf>
    <xf numFmtId="176" fontId="3" fillId="0" borderId="1" xfId="0" applyNumberFormat="1" applyFont="1" applyBorder="1" applyAlignment="1" applyProtection="1">
      <alignment horizontal="right" vertical="center"/>
      <protection locked="0"/>
    </xf>
    <xf numFmtId="3" fontId="3" fillId="0" borderId="1" xfId="0" applyNumberFormat="1" applyFont="1" applyBorder="1" applyAlignment="1" applyProtection="1">
      <alignment horizontal="right" vertical="center"/>
      <protection locked="0"/>
    </xf>
    <xf numFmtId="3" fontId="3" fillId="0" borderId="2" xfId="0" applyNumberFormat="1" applyFont="1" applyBorder="1" applyAlignment="1" applyProtection="1">
      <alignment horizontal="right" vertical="center"/>
      <protection locked="0"/>
    </xf>
    <xf numFmtId="175" fontId="3" fillId="0" borderId="1" xfId="0" applyNumberFormat="1" applyFont="1" applyBorder="1" applyAlignment="1" applyProtection="1">
      <alignment horizontal="right" vertical="center"/>
      <protection hidden="1"/>
    </xf>
    <xf numFmtId="10" fontId="3" fillId="0" borderId="1" xfId="0" applyNumberFormat="1" applyFont="1" applyBorder="1" applyAlignment="1" applyProtection="1">
      <alignment horizontal="right" vertical="center"/>
      <protection locked="0"/>
    </xf>
    <xf numFmtId="2" fontId="3" fillId="0" borderId="1" xfId="0" applyNumberFormat="1" applyFont="1" applyBorder="1" applyAlignment="1" applyProtection="1">
      <alignment horizontal="right" vertical="center"/>
      <protection locked="0"/>
    </xf>
    <xf numFmtId="0" fontId="3" fillId="0" borderId="1" xfId="0" applyFont="1" applyBorder="1" applyAlignment="1" applyProtection="1">
      <alignment horizontal="center" vertical="center"/>
      <protection locked="0"/>
    </xf>
    <xf numFmtId="0" fontId="3" fillId="0" borderId="1" xfId="0" applyFont="1" applyBorder="1" applyAlignment="1" applyProtection="1">
      <alignment horizontal="left" vertical="center"/>
      <protection hidden="1"/>
    </xf>
    <xf numFmtId="2" fontId="3" fillId="0" borderId="0" xfId="0" applyNumberFormat="1" applyFont="1" applyAlignment="1">
      <alignment horizontal="right" vertical="center"/>
    </xf>
    <xf numFmtId="168" fontId="18" fillId="0" borderId="0" xfId="0" applyNumberFormat="1"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6" borderId="14" xfId="0" applyFont="1" applyFill="1" applyBorder="1" applyAlignment="1">
      <alignment horizontal="center" vertical="center"/>
    </xf>
    <xf numFmtId="0" fontId="3" fillId="6" borderId="15" xfId="0" applyFont="1" applyFill="1" applyBorder="1" applyAlignment="1">
      <alignment horizontal="center" vertical="center"/>
    </xf>
    <xf numFmtId="0" fontId="3" fillId="0" borderId="5" xfId="0" applyFont="1" applyBorder="1" applyAlignment="1" applyProtection="1">
      <alignment horizontal="left" vertical="top" wrapText="1"/>
      <protection locked="0"/>
    </xf>
    <xf numFmtId="0" fontId="3" fillId="0" borderId="3"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10" xfId="0" applyFont="1" applyBorder="1" applyAlignment="1" applyProtection="1">
      <alignment horizontal="left" vertical="top" wrapText="1"/>
      <protection locked="0"/>
    </xf>
    <xf numFmtId="165" fontId="3" fillId="0" borderId="1" xfId="0" applyNumberFormat="1" applyFont="1" applyBorder="1" applyAlignment="1" applyProtection="1">
      <alignment horizontal="right" vertical="center"/>
      <protection locked="0"/>
    </xf>
    <xf numFmtId="171" fontId="3" fillId="0" borderId="1" xfId="0" applyNumberFormat="1" applyFont="1" applyBorder="1" applyAlignment="1" applyProtection="1">
      <alignment horizontal="right" vertical="center"/>
      <protection locked="0"/>
    </xf>
    <xf numFmtId="1" fontId="3" fillId="0" borderId="1" xfId="0" applyNumberFormat="1" applyFont="1" applyBorder="1" applyAlignment="1" applyProtection="1">
      <alignment horizontal="right" vertical="center"/>
      <protection locked="0"/>
    </xf>
    <xf numFmtId="4" fontId="3" fillId="0" borderId="4" xfId="0" applyNumberFormat="1" applyFont="1" applyBorder="1" applyAlignment="1" applyProtection="1">
      <alignment horizontal="right" vertical="center"/>
      <protection locked="0"/>
    </xf>
    <xf numFmtId="0" fontId="3" fillId="0" borderId="2" xfId="0" applyFont="1" applyBorder="1" applyAlignment="1" applyProtection="1">
      <alignment horizontal="left" vertical="center"/>
      <protection locked="0"/>
    </xf>
    <xf numFmtId="0" fontId="3" fillId="0" borderId="0" xfId="0" applyFont="1" applyAlignment="1">
      <alignment horizontal="right" vertical="center"/>
    </xf>
    <xf numFmtId="4" fontId="3" fillId="0" borderId="1" xfId="0" applyNumberFormat="1" applyFont="1" applyBorder="1" applyAlignment="1" applyProtection="1">
      <alignment horizontal="right" vertical="center"/>
      <protection hidden="1"/>
    </xf>
    <xf numFmtId="0" fontId="2" fillId="0" borderId="0" xfId="0" applyFont="1" applyAlignment="1">
      <alignment horizontal="right" vertical="center" wrapText="1"/>
    </xf>
    <xf numFmtId="0" fontId="3" fillId="0" borderId="2" xfId="0" applyFont="1" applyBorder="1" applyAlignment="1" applyProtection="1">
      <alignment horizontal="center" vertical="center"/>
      <protection hidden="1"/>
    </xf>
    <xf numFmtId="164" fontId="3" fillId="0" borderId="1" xfId="0" applyNumberFormat="1" applyFont="1" applyBorder="1" applyAlignment="1" applyProtection="1">
      <alignment horizontal="center" vertical="center"/>
      <protection hidden="1"/>
    </xf>
    <xf numFmtId="164" fontId="3" fillId="0" borderId="1" xfId="0" applyNumberFormat="1"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4" fontId="3" fillId="0" borderId="1" xfId="0" quotePrefix="1" applyNumberFormat="1" applyFont="1" applyBorder="1" applyAlignment="1" applyProtection="1">
      <alignment horizontal="right" vertical="center"/>
      <protection locked="0"/>
    </xf>
    <xf numFmtId="3" fontId="3" fillId="0" borderId="2" xfId="0" applyNumberFormat="1" applyFont="1" applyBorder="1" applyAlignment="1" applyProtection="1">
      <alignment horizontal="right" vertical="center"/>
      <protection hidden="1"/>
    </xf>
    <xf numFmtId="0" fontId="21" fillId="0" borderId="1" xfId="1" applyFont="1" applyBorder="1" applyAlignment="1" applyProtection="1">
      <alignment horizontal="left" vertical="center"/>
      <protection locked="0"/>
    </xf>
    <xf numFmtId="170" fontId="3" fillId="0" borderId="2" xfId="0" applyNumberFormat="1" applyFont="1" applyBorder="1" applyAlignment="1" applyProtection="1">
      <alignment horizontal="left" vertical="center"/>
      <protection locked="0"/>
    </xf>
    <xf numFmtId="0" fontId="3" fillId="0" borderId="0" xfId="0" applyFont="1" applyAlignment="1">
      <alignment horizontal="center" vertical="center" textRotation="90" wrapText="1"/>
    </xf>
    <xf numFmtId="0" fontId="3" fillId="0" borderId="1" xfId="0" applyFont="1" applyBorder="1" applyAlignment="1">
      <alignment horizontal="center" vertical="center"/>
    </xf>
    <xf numFmtId="0" fontId="14" fillId="0" borderId="0" xfId="0" applyFont="1" applyAlignment="1">
      <alignment horizontal="left" vertical="center"/>
    </xf>
    <xf numFmtId="0" fontId="3" fillId="0" borderId="1" xfId="0" applyFont="1" applyBorder="1" applyAlignment="1" applyProtection="1">
      <alignment horizontal="right" vertical="center"/>
      <protection locked="0"/>
    </xf>
    <xf numFmtId="172" fontId="3" fillId="0" borderId="2" xfId="0" applyNumberFormat="1" applyFont="1" applyBorder="1" applyAlignment="1">
      <alignment vertical="center"/>
    </xf>
    <xf numFmtId="0" fontId="3" fillId="0" borderId="1" xfId="0" applyFont="1" applyBorder="1" applyAlignment="1">
      <alignment horizontal="left" vertical="center"/>
    </xf>
    <xf numFmtId="164" fontId="3" fillId="0" borderId="1" xfId="0" applyNumberFormat="1" applyFont="1" applyBorder="1" applyAlignment="1">
      <alignment horizontal="center" vertical="center"/>
    </xf>
    <xf numFmtId="0" fontId="3" fillId="0" borderId="2" xfId="0" applyFont="1" applyBorder="1" applyAlignment="1">
      <alignment horizontal="left" vertical="center"/>
    </xf>
    <xf numFmtId="167" fontId="3" fillId="0" borderId="1" xfId="0" applyNumberFormat="1" applyFont="1" applyBorder="1" applyAlignment="1">
      <alignment vertical="center"/>
    </xf>
    <xf numFmtId="3" fontId="3" fillId="0" borderId="1" xfId="0" applyNumberFormat="1" applyFont="1" applyBorder="1" applyAlignment="1" applyProtection="1">
      <alignment horizontal="center" vertical="center"/>
      <protection locked="0"/>
    </xf>
    <xf numFmtId="173" fontId="3" fillId="0" borderId="1" xfId="0" applyNumberFormat="1" applyFont="1" applyBorder="1" applyAlignment="1" applyProtection="1">
      <alignment horizontal="right" vertical="center"/>
      <protection locked="0"/>
    </xf>
    <xf numFmtId="2" fontId="3" fillId="0" borderId="2" xfId="2" applyNumberFormat="1" applyFont="1" applyBorder="1" applyAlignment="1">
      <alignment horizontal="right" vertical="center"/>
    </xf>
    <xf numFmtId="4" fontId="3" fillId="0" borderId="1" xfId="0" applyNumberFormat="1" applyFont="1" applyBorder="1" applyAlignment="1">
      <alignment horizontal="right" vertical="center"/>
    </xf>
    <xf numFmtId="2" fontId="3" fillId="0" borderId="1" xfId="2" applyNumberFormat="1" applyFont="1" applyBorder="1" applyAlignment="1" applyProtection="1">
      <alignment horizontal="right" vertical="center"/>
    </xf>
    <xf numFmtId="2" fontId="3" fillId="0" borderId="1" xfId="0" applyNumberFormat="1" applyFont="1" applyBorder="1" applyAlignment="1">
      <alignment horizontal="right" vertical="center"/>
    </xf>
    <xf numFmtId="3" fontId="3" fillId="0" borderId="1" xfId="0" applyNumberFormat="1" applyFont="1" applyBorder="1" applyAlignment="1">
      <alignment horizontal="right" vertical="center"/>
    </xf>
    <xf numFmtId="2" fontId="3" fillId="0" borderId="2" xfId="0" applyNumberFormat="1" applyFont="1" applyBorder="1" applyAlignment="1">
      <alignment horizontal="right" vertical="center"/>
    </xf>
    <xf numFmtId="0" fontId="18" fillId="0" borderId="0" xfId="0" applyFont="1" applyAlignment="1">
      <alignment horizontal="center" vertical="center" wrapText="1"/>
    </xf>
    <xf numFmtId="3" fontId="3" fillId="0" borderId="2" xfId="0" applyNumberFormat="1" applyFont="1" applyBorder="1" applyAlignment="1">
      <alignment horizontal="right" vertical="center"/>
    </xf>
    <xf numFmtId="1" fontId="3" fillId="0" borderId="2" xfId="0" applyNumberFormat="1" applyFont="1" applyBorder="1" applyAlignment="1" applyProtection="1">
      <alignment horizontal="center" vertical="center"/>
      <protection hidden="1"/>
    </xf>
    <xf numFmtId="3" fontId="3" fillId="0" borderId="1" xfId="0" applyNumberFormat="1" applyFont="1" applyBorder="1" applyAlignment="1" applyProtection="1">
      <alignment horizontal="right" vertical="center"/>
      <protection hidden="1"/>
    </xf>
    <xf numFmtId="0" fontId="9" fillId="4" borderId="0" xfId="0" applyFont="1" applyFill="1" applyAlignment="1">
      <alignment horizontal="left" vertical="center"/>
    </xf>
    <xf numFmtId="0" fontId="11" fillId="0" borderId="2" xfId="1" applyBorder="1" applyAlignment="1" applyProtection="1">
      <alignment horizontal="left" vertical="center"/>
      <protection locked="0"/>
    </xf>
    <xf numFmtId="4" fontId="3" fillId="0" borderId="2" xfId="0" applyNumberFormat="1" applyFont="1" applyBorder="1" applyAlignment="1">
      <alignment horizontal="right" vertical="center"/>
    </xf>
    <xf numFmtId="165" fontId="3" fillId="0" borderId="1" xfId="0" applyNumberFormat="1" applyFont="1" applyBorder="1" applyAlignment="1" applyProtection="1">
      <alignment horizontal="right" vertical="center"/>
      <protection hidden="1"/>
    </xf>
    <xf numFmtId="165" fontId="3" fillId="0" borderId="2" xfId="0" applyNumberFormat="1" applyFont="1" applyBorder="1" applyAlignment="1" applyProtection="1">
      <alignment horizontal="right" vertical="center"/>
      <protection hidden="1"/>
    </xf>
    <xf numFmtId="171" fontId="3" fillId="0" borderId="2" xfId="0" applyNumberFormat="1" applyFont="1" applyBorder="1" applyAlignment="1" applyProtection="1">
      <alignment horizontal="right" vertical="center"/>
      <protection locked="0"/>
    </xf>
    <xf numFmtId="0" fontId="3" fillId="0" borderId="1" xfId="0" applyFont="1" applyBorder="1" applyAlignment="1">
      <alignment horizontal="right" vertical="center"/>
    </xf>
    <xf numFmtId="0" fontId="3" fillId="0" borderId="1" xfId="0" applyFont="1" applyBorder="1" applyAlignment="1" applyProtection="1">
      <alignment vertical="center"/>
      <protection locked="0"/>
    </xf>
    <xf numFmtId="0" fontId="3" fillId="0" borderId="2" xfId="0" applyFont="1" applyBorder="1" applyAlignment="1">
      <alignment horizontal="right" vertical="center"/>
    </xf>
    <xf numFmtId="1" fontId="3" fillId="0" borderId="1" xfId="0" applyNumberFormat="1" applyFont="1" applyBorder="1" applyAlignment="1">
      <alignment horizontal="right" vertical="center"/>
    </xf>
    <xf numFmtId="2" fontId="3" fillId="0" borderId="2" xfId="0" applyNumberFormat="1" applyFont="1" applyBorder="1" applyAlignment="1" applyProtection="1">
      <alignment horizontal="right" vertical="center"/>
      <protection hidden="1"/>
    </xf>
    <xf numFmtId="164" fontId="3" fillId="0" borderId="2" xfId="0" applyNumberFormat="1" applyFont="1" applyBorder="1" applyAlignment="1" applyProtection="1">
      <alignment horizontal="center" vertical="center"/>
      <protection locked="0"/>
    </xf>
    <xf numFmtId="176" fontId="3" fillId="0" borderId="1" xfId="0" applyNumberFormat="1" applyFont="1" applyBorder="1" applyAlignment="1">
      <alignment horizontal="right" vertical="center"/>
    </xf>
    <xf numFmtId="0" fontId="3" fillId="0" borderId="2" xfId="0" applyFont="1" applyBorder="1" applyAlignment="1" applyProtection="1">
      <alignment horizontal="left" vertical="center"/>
      <protection hidden="1"/>
    </xf>
    <xf numFmtId="0" fontId="9" fillId="3" borderId="0" xfId="0" applyFont="1" applyFill="1" applyAlignment="1">
      <alignment horizontal="left" vertical="center"/>
    </xf>
    <xf numFmtId="170" fontId="3" fillId="0" borderId="2" xfId="0" applyNumberFormat="1" applyFont="1" applyBorder="1" applyAlignment="1" applyProtection="1">
      <alignment horizontal="center" vertical="center"/>
      <protection locked="0"/>
    </xf>
    <xf numFmtId="174" fontId="3" fillId="0" borderId="1" xfId="0" applyNumberFormat="1" applyFont="1" applyBorder="1" applyAlignment="1" applyProtection="1">
      <alignment horizontal="center" vertical="center"/>
      <protection locked="0"/>
    </xf>
    <xf numFmtId="164" fontId="3" fillId="3" borderId="2" xfId="0" applyNumberFormat="1" applyFont="1" applyFill="1" applyBorder="1" applyAlignment="1">
      <alignment horizontal="left" vertical="center"/>
    </xf>
    <xf numFmtId="170" fontId="3" fillId="0" borderId="1" xfId="0" applyNumberFormat="1" applyFont="1" applyBorder="1" applyAlignment="1" applyProtection="1">
      <alignment horizontal="center" vertical="center"/>
      <protection locked="0"/>
    </xf>
    <xf numFmtId="0" fontId="3" fillId="0" borderId="0" xfId="0" applyFont="1" applyAlignment="1">
      <alignment horizontal="left" vertical="top" wrapText="1"/>
    </xf>
  </cellXfs>
  <cellStyles count="3">
    <cellStyle name="Hyperlink" xfId="1" builtinId="8"/>
    <cellStyle name="Normal" xfId="0" builtinId="0"/>
    <cellStyle name="Percent" xfId="2" builtinId="5"/>
  </cellStyles>
  <dxfs count="369">
    <dxf>
      <fill>
        <patternFill>
          <bgColor theme="7"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rgb="FFFF0000"/>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5" tint="0.59996337778862885"/>
        </patternFill>
      </fill>
    </dxf>
    <dxf>
      <numFmt numFmtId="179" formatCode="0.0000"/>
    </dxf>
    <dxf>
      <numFmt numFmtId="3" formatCode="#,##0"/>
    </dxf>
    <dxf>
      <fill>
        <patternFill>
          <bgColor theme="5" tint="0.59996337778862885"/>
        </patternFill>
      </fill>
    </dxf>
    <dxf>
      <fill>
        <patternFill>
          <bgColor theme="9" tint="0.59996337778862885"/>
        </patternFill>
      </fill>
    </dxf>
    <dxf>
      <fill>
        <patternFill>
          <bgColor theme="9" tint="0.59996337778862885"/>
        </patternFill>
      </fill>
    </dxf>
    <dxf>
      <fill>
        <patternFill>
          <bgColor rgb="FFFF0000"/>
        </patternFill>
      </fill>
    </dxf>
    <dxf>
      <fill>
        <patternFill>
          <bgColor theme="7" tint="0.59996337778862885"/>
        </patternFill>
      </fill>
    </dxf>
    <dxf>
      <fill>
        <patternFill>
          <bgColor theme="7" tint="0.59996337778862885"/>
        </patternFill>
      </fill>
    </dxf>
    <dxf>
      <fill>
        <patternFill>
          <bgColor theme="5" tint="0.59996337778862885"/>
        </patternFill>
      </fill>
    </dxf>
    <dxf>
      <numFmt numFmtId="3" formatCode="#,##0"/>
    </dxf>
    <dxf>
      <numFmt numFmtId="179" formatCode="0.0000"/>
    </dxf>
    <dxf>
      <fill>
        <patternFill>
          <bgColor theme="5"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numFmt numFmtId="3" formatCode="#,##0"/>
    </dxf>
    <dxf>
      <fill>
        <patternFill>
          <bgColor theme="5" tint="0.59996337778862885"/>
        </patternFill>
      </fill>
    </dxf>
    <dxf>
      <numFmt numFmtId="175" formatCode="#,##0.0000"/>
    </dxf>
    <dxf>
      <fill>
        <patternFill>
          <bgColor theme="7" tint="0.59996337778862885"/>
        </patternFill>
      </fill>
    </dxf>
    <dxf>
      <fill>
        <patternFill>
          <bgColor theme="7" tint="0.59996337778862885"/>
        </patternFill>
      </fill>
    </dxf>
    <dxf>
      <numFmt numFmtId="3" formatCode="#,##0"/>
    </dxf>
    <dxf>
      <numFmt numFmtId="179" formatCode="0.0000"/>
    </dxf>
    <dxf>
      <fill>
        <patternFill>
          <bgColor theme="7"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rgb="FFFF0000"/>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0000"/>
        </patternFill>
      </fill>
    </dxf>
    <dxf>
      <fill>
        <patternFill>
          <bgColor theme="9" tint="0.59996337778862885"/>
        </patternFill>
      </fill>
    </dxf>
    <dxf>
      <fill>
        <patternFill>
          <bgColor rgb="FFFF0000"/>
        </patternFill>
      </fill>
    </dxf>
    <dxf>
      <fill>
        <patternFill>
          <bgColor theme="9" tint="0.59996337778862885"/>
        </patternFill>
      </fill>
    </dxf>
    <dxf>
      <fill>
        <patternFill>
          <bgColor rgb="FFFF0000"/>
        </patternFill>
      </fill>
    </dxf>
    <dxf>
      <fill>
        <patternFill>
          <bgColor theme="9" tint="0.59996337778862885"/>
        </patternFill>
      </fill>
    </dxf>
    <dxf>
      <fill>
        <patternFill>
          <bgColor rgb="FFFF0000"/>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rgb="FFFF0000"/>
        </patternFill>
      </fill>
    </dxf>
    <dxf>
      <fill>
        <patternFill>
          <bgColor theme="9" tint="0.59996337778862885"/>
        </patternFill>
      </fill>
    </dxf>
    <dxf>
      <fill>
        <patternFill>
          <bgColor rgb="FFFF0000"/>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patternType="none">
          <bgColor auto="1"/>
        </patternFill>
      </fill>
    </dxf>
    <dxf>
      <fill>
        <patternFill>
          <bgColor theme="9" tint="0.59996337778862885"/>
        </patternFill>
      </fill>
    </dxf>
    <dxf>
      <numFmt numFmtId="175" formatCode="#,##0.0000"/>
    </dxf>
    <dxf>
      <numFmt numFmtId="3" formatCode="#,##0"/>
    </dxf>
    <dxf>
      <fill>
        <patternFill>
          <bgColor theme="7"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7" tint="0.59996337778862885"/>
        </patternFill>
      </fill>
    </dxf>
    <dxf>
      <fill>
        <patternFill>
          <bgColor theme="5" tint="0.59996337778862885"/>
        </patternFill>
      </fill>
    </dxf>
    <dxf>
      <numFmt numFmtId="3" formatCode="#,##0"/>
    </dxf>
    <dxf>
      <numFmt numFmtId="175" formatCode="#,##0.0000"/>
    </dxf>
    <dxf>
      <fill>
        <patternFill>
          <bgColor theme="5"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numFmt numFmtId="175" formatCode="#,##0.0000"/>
    </dxf>
    <dxf>
      <numFmt numFmtId="3" formatCode="#,##0"/>
    </dxf>
    <dxf>
      <fill>
        <patternFill>
          <bgColor theme="9" tint="0.59996337778862885"/>
        </patternFill>
      </fill>
    </dxf>
    <dxf>
      <numFmt numFmtId="3" formatCode="#,##0"/>
    </dxf>
    <dxf>
      <numFmt numFmtId="175" formatCode="#,##0.0000"/>
    </dxf>
    <dxf>
      <fill>
        <patternFill>
          <bgColor theme="9"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numFmt numFmtId="3" formatCode="#,##0"/>
    </dxf>
    <dxf>
      <numFmt numFmtId="175" formatCode="#,##0.0000"/>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0000"/>
        </patternFill>
      </fill>
    </dxf>
    <dxf>
      <font>
        <b/>
        <i val="0"/>
        <color theme="0"/>
      </font>
    </dxf>
    <dxf>
      <fill>
        <patternFill>
          <bgColor theme="9" tint="0.59996337778862885"/>
        </patternFill>
      </fill>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right"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s>
  <tableStyles count="0" defaultTableStyle="TableStyleMedium2" defaultPivotStyle="PivotStyleLight16"/>
  <colors>
    <mruColors>
      <color rgb="FFFFFFCC"/>
      <color rgb="FFFFFF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emf"/><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10.png"/></Relationships>
</file>

<file path=xl/drawings/_rels/drawing3.x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10.png"/></Relationships>
</file>

<file path=xl/drawings/_rels/drawing4.x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10.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7</xdr:col>
      <xdr:colOff>140654</xdr:colOff>
      <xdr:row>44</xdr:row>
      <xdr:rowOff>56862</xdr:rowOff>
    </xdr:from>
    <xdr:to>
      <xdr:col>7</xdr:col>
      <xdr:colOff>990919</xdr:colOff>
      <xdr:row>44</xdr:row>
      <xdr:rowOff>784768</xdr:rowOff>
    </xdr:to>
    <xdr:pic>
      <xdr:nvPicPr>
        <xdr:cNvPr id="8" name="Picture 7">
          <a:extLst>
            <a:ext uri="{FF2B5EF4-FFF2-40B4-BE49-F238E27FC236}">
              <a16:creationId xmlns:a16="http://schemas.microsoft.com/office/drawing/2014/main" id="{9E5A6083-065B-4883-98A4-FF8269904F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026854" y="9543762"/>
          <a:ext cx="850265" cy="727906"/>
        </a:xfrm>
        <a:prstGeom prst="rect">
          <a:avLst/>
        </a:prstGeom>
        <a:noFill/>
        <a:ln>
          <a:noFill/>
        </a:ln>
      </xdr:spPr>
    </xdr:pic>
    <xdr:clientData/>
  </xdr:twoCellAnchor>
  <xdr:twoCellAnchor editAs="oneCell">
    <xdr:from>
      <xdr:col>5</xdr:col>
      <xdr:colOff>197770</xdr:colOff>
      <xdr:row>43</xdr:row>
      <xdr:rowOff>73991</xdr:rowOff>
    </xdr:from>
    <xdr:to>
      <xdr:col>5</xdr:col>
      <xdr:colOff>1007394</xdr:colOff>
      <xdr:row>43</xdr:row>
      <xdr:rowOff>780746</xdr:rowOff>
    </xdr:to>
    <xdr:pic>
      <xdr:nvPicPr>
        <xdr:cNvPr id="9" name="Picture 8">
          <a:extLst>
            <a:ext uri="{FF2B5EF4-FFF2-40B4-BE49-F238E27FC236}">
              <a16:creationId xmlns:a16="http://schemas.microsoft.com/office/drawing/2014/main" id="{BDB2911C-42BD-42F0-BEA7-7CF4BFC71A4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6131845" y="10456241"/>
          <a:ext cx="803909" cy="718185"/>
        </a:xfrm>
        <a:prstGeom prst="rect">
          <a:avLst/>
        </a:prstGeom>
        <a:noFill/>
        <a:ln>
          <a:noFill/>
        </a:ln>
      </xdr:spPr>
    </xdr:pic>
    <xdr:clientData/>
  </xdr:twoCellAnchor>
  <xdr:twoCellAnchor editAs="oneCell">
    <xdr:from>
      <xdr:col>5</xdr:col>
      <xdr:colOff>191277</xdr:colOff>
      <xdr:row>40</xdr:row>
      <xdr:rowOff>64619</xdr:rowOff>
    </xdr:from>
    <xdr:to>
      <xdr:col>5</xdr:col>
      <xdr:colOff>915177</xdr:colOff>
      <xdr:row>40</xdr:row>
      <xdr:rowOff>783772</xdr:rowOff>
    </xdr:to>
    <xdr:pic>
      <xdr:nvPicPr>
        <xdr:cNvPr id="10" name="Picture 9">
          <a:extLst>
            <a:ext uri="{FF2B5EF4-FFF2-40B4-BE49-F238E27FC236}">
              <a16:creationId xmlns:a16="http://schemas.microsoft.com/office/drawing/2014/main" id="{EC2F9CB9-4AFF-477A-965D-E8EC155A044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125352" y="7989419"/>
          <a:ext cx="723900" cy="724868"/>
        </a:xfrm>
        <a:prstGeom prst="rect">
          <a:avLst/>
        </a:prstGeom>
        <a:ln>
          <a:noFill/>
        </a:ln>
      </xdr:spPr>
    </xdr:pic>
    <xdr:clientData/>
  </xdr:twoCellAnchor>
  <xdr:twoCellAnchor editAs="oneCell">
    <xdr:from>
      <xdr:col>5</xdr:col>
      <xdr:colOff>170147</xdr:colOff>
      <xdr:row>42</xdr:row>
      <xdr:rowOff>73004</xdr:rowOff>
    </xdr:from>
    <xdr:to>
      <xdr:col>5</xdr:col>
      <xdr:colOff>1008045</xdr:colOff>
      <xdr:row>42</xdr:row>
      <xdr:rowOff>779759</xdr:rowOff>
    </xdr:to>
    <xdr:pic>
      <xdr:nvPicPr>
        <xdr:cNvPr id="11" name="Picture 10">
          <a:extLst>
            <a:ext uri="{FF2B5EF4-FFF2-40B4-BE49-F238E27FC236}">
              <a16:creationId xmlns:a16="http://schemas.microsoft.com/office/drawing/2014/main" id="{8DCF04AF-399C-494B-BFD2-1ABBA47859A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bwMode="auto">
        <a:xfrm>
          <a:off x="6104222" y="9636104"/>
          <a:ext cx="837898" cy="718185"/>
        </a:xfrm>
        <a:prstGeom prst="rect">
          <a:avLst/>
        </a:prstGeom>
        <a:noFill/>
        <a:ln>
          <a:noFill/>
        </a:ln>
      </xdr:spPr>
    </xdr:pic>
    <xdr:clientData/>
  </xdr:twoCellAnchor>
  <xdr:twoCellAnchor editAs="oneCell">
    <xdr:from>
      <xdr:col>5</xdr:col>
      <xdr:colOff>207134</xdr:colOff>
      <xdr:row>41</xdr:row>
      <xdr:rowOff>67369</xdr:rowOff>
    </xdr:from>
    <xdr:to>
      <xdr:col>5</xdr:col>
      <xdr:colOff>914393</xdr:colOff>
      <xdr:row>41</xdr:row>
      <xdr:rowOff>779839</xdr:rowOff>
    </xdr:to>
    <xdr:pic>
      <xdr:nvPicPr>
        <xdr:cNvPr id="12" name="Picture 11" descr="Logo&#10;&#10;Description automatically generated">
          <a:extLst>
            <a:ext uri="{FF2B5EF4-FFF2-40B4-BE49-F238E27FC236}">
              <a16:creationId xmlns:a16="http://schemas.microsoft.com/office/drawing/2014/main" id="{3288FCE9-D892-4E18-A570-403B94F534D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141209" y="8811319"/>
          <a:ext cx="707259" cy="72009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7</xdr:col>
          <xdr:colOff>0</xdr:colOff>
          <xdr:row>39</xdr:row>
          <xdr:rowOff>0</xdr:rowOff>
        </xdr:from>
        <xdr:to>
          <xdr:col>7</xdr:col>
          <xdr:colOff>1714500</xdr:colOff>
          <xdr:row>40</xdr:row>
          <xdr:rowOff>0</xdr:rowOff>
        </xdr:to>
        <xdr:pic>
          <xdr:nvPicPr>
            <xdr:cNvPr id="3" name="Picture 2">
              <a:extLst>
                <a:ext uri="{FF2B5EF4-FFF2-40B4-BE49-F238E27FC236}">
                  <a16:creationId xmlns:a16="http://schemas.microsoft.com/office/drawing/2014/main" id="{E8A77AB6-53EB-4B82-B86B-B2C010F0A777}"/>
                </a:ext>
              </a:extLst>
            </xdr:cNvPr>
            <xdr:cNvPicPr>
              <a:picLocks noChangeAspect="1"/>
              <a:extLst>
                <a:ext uri="{84589F7E-364E-4C9E-8A38-B11213B215E9}">
                  <a14:cameraTool cellRange="Logo" spid="_x0000_s1686"/>
                </a:ext>
              </a:extLst>
            </xdr:cNvPicPr>
          </xdr:nvPicPr>
          <xdr:blipFill>
            <a:blip xmlns:r="http://schemas.openxmlformats.org/officeDocument/2006/relationships" r:embed="rId6"/>
            <a:stretch>
              <a:fillRect/>
            </a:stretch>
          </xdr:blipFill>
          <xdr:spPr>
            <a:xfrm>
              <a:off x="7962900" y="7105650"/>
              <a:ext cx="1714500" cy="819150"/>
            </a:xfrm>
            <a:prstGeom prst="rect">
              <a:avLst/>
            </a:prstGeom>
            <a:ln>
              <a:noFill/>
            </a:ln>
          </xdr:spPr>
        </xdr:pic>
        <xdr:clientData/>
      </xdr:twoCellAnchor>
    </mc:Choice>
    <mc:Fallback/>
  </mc:AlternateContent>
  <xdr:twoCellAnchor editAs="oneCell">
    <xdr:from>
      <xdr:col>5</xdr:col>
      <xdr:colOff>83820</xdr:colOff>
      <xdr:row>44</xdr:row>
      <xdr:rowOff>160020</xdr:rowOff>
    </xdr:from>
    <xdr:to>
      <xdr:col>5</xdr:col>
      <xdr:colOff>1427521</xdr:colOff>
      <xdr:row>44</xdr:row>
      <xdr:rowOff>667318</xdr:rowOff>
    </xdr:to>
    <xdr:pic>
      <xdr:nvPicPr>
        <xdr:cNvPr id="7" name="Picture 6">
          <a:extLst>
            <a:ext uri="{FF2B5EF4-FFF2-40B4-BE49-F238E27FC236}">
              <a16:creationId xmlns:a16="http://schemas.microsoft.com/office/drawing/2014/main" id="{6D311F4B-04F9-4B6A-A50B-ACA22C59F34B}"/>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t="21267" b="19271"/>
        <a:stretch/>
      </xdr:blipFill>
      <xdr:spPr>
        <a:xfrm>
          <a:off x="1943100" y="9646920"/>
          <a:ext cx="1355131" cy="495868"/>
        </a:xfrm>
        <a:prstGeom prst="rect">
          <a:avLst/>
        </a:prstGeom>
      </xdr:spPr>
    </xdr:pic>
    <xdr:clientData/>
  </xdr:twoCellAnchor>
  <xdr:twoCellAnchor editAs="oneCell">
    <xdr:from>
      <xdr:col>5</xdr:col>
      <xdr:colOff>114300</xdr:colOff>
      <xdr:row>39</xdr:row>
      <xdr:rowOff>7620</xdr:rowOff>
    </xdr:from>
    <xdr:to>
      <xdr:col>5</xdr:col>
      <xdr:colOff>935990</xdr:colOff>
      <xdr:row>40</xdr:row>
      <xdr:rowOff>3175</xdr:rowOff>
    </xdr:to>
    <xdr:pic>
      <xdr:nvPicPr>
        <xdr:cNvPr id="2" name="Picture 1">
          <a:extLst>
            <a:ext uri="{FF2B5EF4-FFF2-40B4-BE49-F238E27FC236}">
              <a16:creationId xmlns:a16="http://schemas.microsoft.com/office/drawing/2014/main" id="{FDEFDE82-2959-4B3A-B34F-0029293486E5}"/>
            </a:ext>
          </a:extLst>
        </xdr:cNvPr>
        <xdr:cNvPicPr>
          <a:picLocks noChangeAspect="1"/>
        </xdr:cNvPicPr>
      </xdr:nvPicPr>
      <xdr:blipFill rotWithShape="1">
        <a:blip xmlns:r="http://schemas.openxmlformats.org/officeDocument/2006/relationships" r:embed="rId8">
          <a:extLst>
            <a:ext uri="{28A0092B-C50C-407E-A947-70E740481C1C}">
              <a14:useLocalDpi xmlns:a14="http://schemas.microsoft.com/office/drawing/2010/main" val="0"/>
            </a:ext>
          </a:extLst>
        </a:blip>
        <a:srcRect l="1643" t="4177" r="80564" b="40219"/>
        <a:stretch>
          <a:fillRect/>
        </a:stretch>
      </xdr:blipFill>
      <xdr:spPr bwMode="auto">
        <a:xfrm>
          <a:off x="6334125" y="7115175"/>
          <a:ext cx="817880" cy="812800"/>
        </a:xfrm>
        <a:prstGeom prst="rect">
          <a:avLst/>
        </a:prstGeom>
        <a:noFill/>
        <a:ln>
          <a:noFill/>
        </a:ln>
        <a:extLst>
          <a:ext uri="{53640926-AAD7-44D8-BBD7-CCE9431645EC}">
            <a14:shadowObscured xmlns:a14="http://schemas.microsoft.com/office/drawing/2010/main"/>
          </a:ext>
        </a:extLst>
      </xdr:spPr>
    </xdr:pic>
    <xdr:clientData/>
  </xdr:twoCellAnchor>
  <mc:AlternateContent xmlns:mc="http://schemas.openxmlformats.org/markup-compatibility/2006">
    <mc:Choice xmlns:a14="http://schemas.microsoft.com/office/drawing/2010/main" Requires="a14">
      <xdr:twoCellAnchor editAs="oneCell">
        <xdr:from>
          <xdr:col>7</xdr:col>
          <xdr:colOff>0</xdr:colOff>
          <xdr:row>38</xdr:row>
          <xdr:rowOff>173579</xdr:rowOff>
        </xdr:from>
        <xdr:to>
          <xdr:col>7</xdr:col>
          <xdr:colOff>1714500</xdr:colOff>
          <xdr:row>40</xdr:row>
          <xdr:rowOff>224</xdr:rowOff>
        </xdr:to>
        <xdr:pic>
          <xdr:nvPicPr>
            <xdr:cNvPr id="4" name="Picture 3">
              <a:extLst>
                <a:ext uri="{FF2B5EF4-FFF2-40B4-BE49-F238E27FC236}">
                  <a16:creationId xmlns:a16="http://schemas.microsoft.com/office/drawing/2014/main" id="{129CC7D9-C8D5-47DC-A683-9093CD3B417C}"/>
                </a:ext>
              </a:extLst>
            </xdr:cNvPr>
            <xdr:cNvPicPr>
              <a:picLocks noChangeAspect="1" noChangeArrowheads="1"/>
              <a:extLst>
                <a:ext uri="{84589F7E-364E-4C9E-8A38-B11213B215E9}">
                  <a14:cameraTool cellRange="Logo" spid="_x0000_s1687"/>
                </a:ext>
              </a:extLst>
            </xdr:cNvPicPr>
          </xdr:nvPicPr>
          <xdr:blipFill>
            <a:blip xmlns:r="http://schemas.openxmlformats.org/officeDocument/2006/relationships" r:embed="rId6"/>
            <a:srcRect/>
            <a:stretch>
              <a:fillRect/>
            </a:stretch>
          </xdr:blipFill>
          <xdr:spPr bwMode="auto">
            <a:xfrm>
              <a:off x="7962900" y="7098254"/>
              <a:ext cx="1714500" cy="81915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32</xdr:col>
      <xdr:colOff>21590</xdr:colOff>
      <xdr:row>52</xdr:row>
      <xdr:rowOff>82550</xdr:rowOff>
    </xdr:from>
    <xdr:ext cx="712568" cy="259080"/>
    <xdr:pic>
      <xdr:nvPicPr>
        <xdr:cNvPr id="4" name="Picture 3">
          <a:extLst>
            <a:ext uri="{FF2B5EF4-FFF2-40B4-BE49-F238E27FC236}">
              <a16:creationId xmlns:a16="http://schemas.microsoft.com/office/drawing/2014/main" id="{C355CB50-6C6C-4EEB-9328-B367DEF2F5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54090" y="8502650"/>
          <a:ext cx="712568" cy="259080"/>
        </a:xfrm>
        <a:prstGeom prst="rect">
          <a:avLst/>
        </a:prstGeom>
      </xdr:spPr>
    </xdr:pic>
    <xdr:clientData/>
  </xdr:oneCellAnchor>
  <xdr:oneCellAnchor>
    <xdr:from>
      <xdr:col>32</xdr:col>
      <xdr:colOff>55880</xdr:colOff>
      <xdr:row>110</xdr:row>
      <xdr:rowOff>91440</xdr:rowOff>
    </xdr:from>
    <xdr:ext cx="712568" cy="259080"/>
    <xdr:pic>
      <xdr:nvPicPr>
        <xdr:cNvPr id="5" name="Picture 4">
          <a:extLst>
            <a:ext uri="{FF2B5EF4-FFF2-40B4-BE49-F238E27FC236}">
              <a16:creationId xmlns:a16="http://schemas.microsoft.com/office/drawing/2014/main" id="{7849E525-F68B-4A32-BD7E-931CC7888E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0000" y="9180129"/>
          <a:ext cx="712568" cy="259080"/>
        </a:xfrm>
        <a:prstGeom prst="rect">
          <a:avLst/>
        </a:prstGeom>
      </xdr:spPr>
    </xdr:pic>
    <xdr:clientData/>
  </xdr:oneCellAnchor>
  <xdr:oneCellAnchor>
    <xdr:from>
      <xdr:col>31</xdr:col>
      <xdr:colOff>167640</xdr:colOff>
      <xdr:row>154</xdr:row>
      <xdr:rowOff>38100</xdr:rowOff>
    </xdr:from>
    <xdr:ext cx="712568" cy="259080"/>
    <xdr:pic>
      <xdr:nvPicPr>
        <xdr:cNvPr id="6" name="Picture 5">
          <a:extLst>
            <a:ext uri="{FF2B5EF4-FFF2-40B4-BE49-F238E27FC236}">
              <a16:creationId xmlns:a16="http://schemas.microsoft.com/office/drawing/2014/main" id="{9FD6802B-404A-4995-8106-881EB59254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09640" y="25488900"/>
          <a:ext cx="712568" cy="259080"/>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9</xdr:col>
          <xdr:colOff>57785</xdr:colOff>
          <xdr:row>5</xdr:row>
          <xdr:rowOff>1270</xdr:rowOff>
        </xdr:to>
        <xdr:pic>
          <xdr:nvPicPr>
            <xdr:cNvPr id="7" name="Picture 6">
              <a:extLst>
                <a:ext uri="{FF2B5EF4-FFF2-40B4-BE49-F238E27FC236}">
                  <a16:creationId xmlns:a16="http://schemas.microsoft.com/office/drawing/2014/main" id="{00AAE24E-932B-B08A-98B0-E220BF1080BA}"/>
                </a:ext>
              </a:extLst>
            </xdr:cNvPr>
            <xdr:cNvPicPr>
              <a:picLocks noChangeAspect="1" noChangeArrowheads="1"/>
              <a:extLst>
                <a:ext uri="{84589F7E-364E-4C9E-8A38-B11213B215E9}">
                  <a14:cameraTool cellRange="Logo" spid="_x0000_s10310"/>
                </a:ext>
              </a:extLst>
            </xdr:cNvPicPr>
          </xdr:nvPicPr>
          <xdr:blipFill>
            <a:blip xmlns:r="http://schemas.openxmlformats.org/officeDocument/2006/relationships" r:embed="rId2"/>
            <a:srcRect/>
            <a:stretch>
              <a:fillRect/>
            </a:stretch>
          </xdr:blipFill>
          <xdr:spPr bwMode="auto">
            <a:xfrm>
              <a:off x="0" y="0"/>
              <a:ext cx="1714500" cy="8229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0</xdr:row>
          <xdr:rowOff>0</xdr:rowOff>
        </xdr:from>
        <xdr:to>
          <xdr:col>55</xdr:col>
          <xdr:colOff>130175</xdr:colOff>
          <xdr:row>5</xdr:row>
          <xdr:rowOff>0</xdr:rowOff>
        </xdr:to>
        <xdr:pic>
          <xdr:nvPicPr>
            <xdr:cNvPr id="8" name="Picture 7">
              <a:extLst>
                <a:ext uri="{FF2B5EF4-FFF2-40B4-BE49-F238E27FC236}">
                  <a16:creationId xmlns:a16="http://schemas.microsoft.com/office/drawing/2014/main" id="{DD3CF302-0D13-C83A-1EF9-FC0D6BB410FE}"/>
                </a:ext>
              </a:extLst>
            </xdr:cNvPr>
            <xdr:cNvPicPr>
              <a:picLocks noChangeAspect="1" noChangeArrowheads="1"/>
              <a:extLst>
                <a:ext uri="{84589F7E-364E-4C9E-8A38-B11213B215E9}">
                  <a14:cameraTool cellRange="Logo" spid="_x0000_s10311"/>
                </a:ext>
              </a:extLst>
            </xdr:cNvPicPr>
          </xdr:nvPicPr>
          <xdr:blipFill>
            <a:blip xmlns:r="http://schemas.openxmlformats.org/officeDocument/2006/relationships" r:embed="rId2"/>
            <a:srcRect/>
            <a:stretch>
              <a:fillRect/>
            </a:stretch>
          </xdr:blipFill>
          <xdr:spPr bwMode="auto">
            <a:xfrm>
              <a:off x="15824200" y="0"/>
              <a:ext cx="1714500" cy="819150"/>
            </a:xfrm>
            <a:prstGeom prst="rect">
              <a:avLst/>
            </a:prstGeom>
            <a:noFill/>
            <a:extLst>
              <a:ext uri="{909E8E84-426E-40DD-AFC4-6F175D3DCCD1}">
                <a14:hiddenFill>
                  <a:solidFill>
                    <a:srgbClr val="FFFFFF"/>
                  </a:solidFill>
                </a14:hiddenFill>
              </a:ext>
            </a:extLst>
          </xdr:spPr>
        </xdr:pic>
        <xdr:clientData/>
      </xdr:twoCellAnchor>
    </mc:Choice>
    <mc:Fallback/>
  </mc:AlternateContent>
  <xdr:oneCellAnchor>
    <xdr:from>
      <xdr:col>31</xdr:col>
      <xdr:colOff>142240</xdr:colOff>
      <xdr:row>251</xdr:row>
      <xdr:rowOff>63500</xdr:rowOff>
    </xdr:from>
    <xdr:ext cx="712568" cy="259080"/>
    <xdr:pic>
      <xdr:nvPicPr>
        <xdr:cNvPr id="2" name="Picture 1">
          <a:extLst>
            <a:ext uri="{FF2B5EF4-FFF2-40B4-BE49-F238E27FC236}">
              <a16:creationId xmlns:a16="http://schemas.microsoft.com/office/drawing/2014/main" id="{A555A92B-916B-4912-8339-99D05B0519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84240" y="42030650"/>
          <a:ext cx="712568" cy="259080"/>
        </a:xfrm>
        <a:prstGeom prst="rect">
          <a:avLst/>
        </a:prstGeom>
      </xdr:spPr>
    </xdr:pic>
    <xdr:clientData/>
  </xdr:oneCellAnchor>
  <xdr:oneCellAnchor>
    <xdr:from>
      <xdr:col>31</xdr:col>
      <xdr:colOff>167640</xdr:colOff>
      <xdr:row>207</xdr:row>
      <xdr:rowOff>38100</xdr:rowOff>
    </xdr:from>
    <xdr:ext cx="712568" cy="259080"/>
    <xdr:pic>
      <xdr:nvPicPr>
        <xdr:cNvPr id="3" name="Picture 2">
          <a:extLst>
            <a:ext uri="{FF2B5EF4-FFF2-40B4-BE49-F238E27FC236}">
              <a16:creationId xmlns:a16="http://schemas.microsoft.com/office/drawing/2014/main" id="{76AFAE54-563B-4F09-AEDB-26F3C0D5CE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13450" y="25374600"/>
          <a:ext cx="712568" cy="25908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31</xdr:col>
      <xdr:colOff>187325</xdr:colOff>
      <xdr:row>107</xdr:row>
      <xdr:rowOff>102235</xdr:rowOff>
    </xdr:from>
    <xdr:ext cx="712568" cy="259080"/>
    <xdr:pic>
      <xdr:nvPicPr>
        <xdr:cNvPr id="2" name="Picture 1" descr="A blue text on a white background&#10;&#10;Description automatically generated">
          <a:extLst>
            <a:ext uri="{FF2B5EF4-FFF2-40B4-BE49-F238E27FC236}">
              <a16:creationId xmlns:a16="http://schemas.microsoft.com/office/drawing/2014/main" id="{9E909A79-A055-406B-A9A3-25CA33715A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26150" y="17833975"/>
          <a:ext cx="712568" cy="259080"/>
        </a:xfrm>
        <a:prstGeom prst="rect">
          <a:avLst/>
        </a:prstGeom>
      </xdr:spPr>
    </xdr:pic>
    <xdr:clientData/>
  </xdr:oneCellAnchor>
  <xdr:oneCellAnchor>
    <xdr:from>
      <xdr:col>31</xdr:col>
      <xdr:colOff>187325</xdr:colOff>
      <xdr:row>54</xdr:row>
      <xdr:rowOff>117475</xdr:rowOff>
    </xdr:from>
    <xdr:ext cx="712568" cy="259080"/>
    <xdr:pic>
      <xdr:nvPicPr>
        <xdr:cNvPr id="4" name="Picture 3">
          <a:extLst>
            <a:ext uri="{FF2B5EF4-FFF2-40B4-BE49-F238E27FC236}">
              <a16:creationId xmlns:a16="http://schemas.microsoft.com/office/drawing/2014/main" id="{F5A3ABD0-BA06-4BA6-AEBE-9D688A1925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26150" y="8842375"/>
          <a:ext cx="712568" cy="259080"/>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9</xdr:col>
          <xdr:colOff>57785</xdr:colOff>
          <xdr:row>5</xdr:row>
          <xdr:rowOff>1270</xdr:rowOff>
        </xdr:to>
        <xdr:pic>
          <xdr:nvPicPr>
            <xdr:cNvPr id="7" name="Picture 6">
              <a:extLst>
                <a:ext uri="{FF2B5EF4-FFF2-40B4-BE49-F238E27FC236}">
                  <a16:creationId xmlns:a16="http://schemas.microsoft.com/office/drawing/2014/main" id="{78C0A340-0059-460B-97CF-63DE1AE4868D}"/>
                </a:ext>
              </a:extLst>
            </xdr:cNvPr>
            <xdr:cNvPicPr>
              <a:picLocks noChangeAspect="1" noChangeArrowheads="1"/>
              <a:extLst>
                <a:ext uri="{84589F7E-364E-4C9E-8A38-B11213B215E9}">
                  <a14:cameraTool cellRange="Logo" spid="_x0000_s6926"/>
                </a:ext>
              </a:extLst>
            </xdr:cNvPicPr>
          </xdr:nvPicPr>
          <xdr:blipFill>
            <a:blip xmlns:r="http://schemas.openxmlformats.org/officeDocument/2006/relationships" r:embed="rId2"/>
            <a:srcRect/>
            <a:stretch>
              <a:fillRect/>
            </a:stretch>
          </xdr:blipFill>
          <xdr:spPr bwMode="auto">
            <a:xfrm>
              <a:off x="0" y="0"/>
              <a:ext cx="1714500" cy="8229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57785</xdr:colOff>
          <xdr:row>0</xdr:row>
          <xdr:rowOff>0</xdr:rowOff>
        </xdr:from>
        <xdr:to>
          <xdr:col>52</xdr:col>
          <xdr:colOff>57785</xdr:colOff>
          <xdr:row>5</xdr:row>
          <xdr:rowOff>0</xdr:rowOff>
        </xdr:to>
        <xdr:pic>
          <xdr:nvPicPr>
            <xdr:cNvPr id="8" name="Picture 7">
              <a:extLst>
                <a:ext uri="{FF2B5EF4-FFF2-40B4-BE49-F238E27FC236}">
                  <a16:creationId xmlns:a16="http://schemas.microsoft.com/office/drawing/2014/main" id="{9D0AA16D-B67E-4407-9111-D03F97ACE4E8}"/>
                </a:ext>
              </a:extLst>
            </xdr:cNvPr>
            <xdr:cNvPicPr>
              <a:picLocks noChangeAspect="1" noChangeArrowheads="1"/>
              <a:extLst>
                <a:ext uri="{84589F7E-364E-4C9E-8A38-B11213B215E9}">
                  <a14:cameraTool cellRange="Logo" spid="_x0000_s6927"/>
                </a:ext>
              </a:extLst>
            </xdr:cNvPicPr>
          </xdr:nvPicPr>
          <xdr:blipFill>
            <a:blip xmlns:r="http://schemas.openxmlformats.org/officeDocument/2006/relationships" r:embed="rId2"/>
            <a:srcRect/>
            <a:stretch>
              <a:fillRect/>
            </a:stretch>
          </xdr:blipFill>
          <xdr:spPr bwMode="auto">
            <a:xfrm>
              <a:off x="7169785" y="0"/>
              <a:ext cx="1714500" cy="81915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33</xdr:col>
      <xdr:colOff>121285</xdr:colOff>
      <xdr:row>51</xdr:row>
      <xdr:rowOff>44450</xdr:rowOff>
    </xdr:from>
    <xdr:ext cx="712568" cy="259080"/>
    <xdr:pic>
      <xdr:nvPicPr>
        <xdr:cNvPr id="6" name="Picture 5">
          <a:extLst>
            <a:ext uri="{FF2B5EF4-FFF2-40B4-BE49-F238E27FC236}">
              <a16:creationId xmlns:a16="http://schemas.microsoft.com/office/drawing/2014/main" id="{598F9883-1F5E-4FA7-8EF0-01A21665A3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98235" y="8718550"/>
          <a:ext cx="712568" cy="259080"/>
        </a:xfrm>
        <a:prstGeom prst="rect">
          <a:avLst/>
        </a:prstGeom>
      </xdr:spPr>
    </xdr:pic>
    <xdr:clientData/>
  </xdr:oneCellAnchor>
  <xdr:oneCellAnchor>
    <xdr:from>
      <xdr:col>33</xdr:col>
      <xdr:colOff>89535</xdr:colOff>
      <xdr:row>97</xdr:row>
      <xdr:rowOff>38100</xdr:rowOff>
    </xdr:from>
    <xdr:ext cx="712568" cy="259080"/>
    <xdr:pic>
      <xdr:nvPicPr>
        <xdr:cNvPr id="7" name="Picture 6">
          <a:extLst>
            <a:ext uri="{FF2B5EF4-FFF2-40B4-BE49-F238E27FC236}">
              <a16:creationId xmlns:a16="http://schemas.microsoft.com/office/drawing/2014/main" id="{A3AAA8B5-EC39-46D5-B0BC-388F53B98B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66485" y="16998950"/>
          <a:ext cx="712568" cy="259080"/>
        </a:xfrm>
        <a:prstGeom prst="rect">
          <a:avLst/>
        </a:prstGeom>
      </xdr:spPr>
    </xdr:pic>
    <xdr:clientData/>
  </xdr:oneCellAnchor>
  <xdr:oneCellAnchor>
    <xdr:from>
      <xdr:col>33</xdr:col>
      <xdr:colOff>142240</xdr:colOff>
      <xdr:row>143</xdr:row>
      <xdr:rowOff>91440</xdr:rowOff>
    </xdr:from>
    <xdr:ext cx="712568" cy="259080"/>
    <xdr:pic>
      <xdr:nvPicPr>
        <xdr:cNvPr id="8" name="Picture 7">
          <a:extLst>
            <a:ext uri="{FF2B5EF4-FFF2-40B4-BE49-F238E27FC236}">
              <a16:creationId xmlns:a16="http://schemas.microsoft.com/office/drawing/2014/main" id="{A1727601-56E6-49A5-8184-99FDCDBCAC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17285" y="9182100"/>
          <a:ext cx="712568" cy="259080"/>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9</xdr:col>
          <xdr:colOff>55245</xdr:colOff>
          <xdr:row>5</xdr:row>
          <xdr:rowOff>1270</xdr:rowOff>
        </xdr:to>
        <xdr:pic>
          <xdr:nvPicPr>
            <xdr:cNvPr id="13" name="Picture 12">
              <a:extLst>
                <a:ext uri="{FF2B5EF4-FFF2-40B4-BE49-F238E27FC236}">
                  <a16:creationId xmlns:a16="http://schemas.microsoft.com/office/drawing/2014/main" id="{3879FBE3-A02F-9F73-C96D-5EC5FD7A33BC}"/>
                </a:ext>
              </a:extLst>
            </xdr:cNvPr>
            <xdr:cNvPicPr>
              <a:picLocks noChangeAspect="1" noChangeArrowheads="1"/>
              <a:extLst>
                <a:ext uri="{84589F7E-364E-4C9E-8A38-B11213B215E9}">
                  <a14:cameraTool cellRange="Logo" spid="_x0000_s15417"/>
                </a:ext>
              </a:extLst>
            </xdr:cNvPicPr>
          </xdr:nvPicPr>
          <xdr:blipFill>
            <a:blip xmlns:r="http://schemas.openxmlformats.org/officeDocument/2006/relationships" r:embed="rId2"/>
            <a:srcRect/>
            <a:stretch>
              <a:fillRect/>
            </a:stretch>
          </xdr:blipFill>
          <xdr:spPr bwMode="auto">
            <a:xfrm>
              <a:off x="0" y="0"/>
              <a:ext cx="1714500" cy="8229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0</xdr:row>
          <xdr:rowOff>0</xdr:rowOff>
        </xdr:from>
        <xdr:to>
          <xdr:col>55</xdr:col>
          <xdr:colOff>0</xdr:colOff>
          <xdr:row>5</xdr:row>
          <xdr:rowOff>0</xdr:rowOff>
        </xdr:to>
        <xdr:pic>
          <xdr:nvPicPr>
            <xdr:cNvPr id="14" name="Picture 13">
              <a:extLst>
                <a:ext uri="{FF2B5EF4-FFF2-40B4-BE49-F238E27FC236}">
                  <a16:creationId xmlns:a16="http://schemas.microsoft.com/office/drawing/2014/main" id="{6F831F27-8A73-7520-A92C-1AB718A94A73}"/>
                </a:ext>
              </a:extLst>
            </xdr:cNvPr>
            <xdr:cNvPicPr>
              <a:picLocks noChangeAspect="1" noChangeArrowheads="1"/>
              <a:extLst>
                <a:ext uri="{84589F7E-364E-4C9E-8A38-B11213B215E9}">
                  <a14:cameraTool cellRange="Logo" spid="_x0000_s15418"/>
                </a:ext>
              </a:extLst>
            </xdr:cNvPicPr>
          </xdr:nvPicPr>
          <xdr:blipFill>
            <a:blip xmlns:r="http://schemas.openxmlformats.org/officeDocument/2006/relationships" r:embed="rId2"/>
            <a:srcRect/>
            <a:stretch>
              <a:fillRect/>
            </a:stretch>
          </xdr:blipFill>
          <xdr:spPr bwMode="auto">
            <a:xfrm>
              <a:off x="7188200" y="0"/>
              <a:ext cx="1714500" cy="819150"/>
            </a:xfrm>
            <a:prstGeom prst="rect">
              <a:avLst/>
            </a:prstGeom>
            <a:noFill/>
            <a:extLst>
              <a:ext uri="{909E8E84-426E-40DD-AFC4-6F175D3DCCD1}">
                <a14:hiddenFill>
                  <a:solidFill>
                    <a:srgbClr val="FFFFFF"/>
                  </a:solidFill>
                </a14:hiddenFill>
              </a:ext>
            </a:extLst>
          </xdr:spPr>
        </xdr:pic>
        <xdr:clientData/>
      </xdr:twoCellAnchor>
    </mc:Choice>
    <mc:Fallback/>
  </mc:AlternateContent>
  <xdr:oneCellAnchor>
    <xdr:from>
      <xdr:col>33</xdr:col>
      <xdr:colOff>6985</xdr:colOff>
      <xdr:row>238</xdr:row>
      <xdr:rowOff>95250</xdr:rowOff>
    </xdr:from>
    <xdr:ext cx="712568" cy="259080"/>
    <xdr:pic>
      <xdr:nvPicPr>
        <xdr:cNvPr id="2" name="Picture 1">
          <a:extLst>
            <a:ext uri="{FF2B5EF4-FFF2-40B4-BE49-F238E27FC236}">
              <a16:creationId xmlns:a16="http://schemas.microsoft.com/office/drawing/2014/main" id="{8EC787EA-F0D4-400A-8DA8-0F677B5A09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83935" y="33477200"/>
          <a:ext cx="712568" cy="259080"/>
        </a:xfrm>
        <a:prstGeom prst="rect">
          <a:avLst/>
        </a:prstGeom>
      </xdr:spPr>
    </xdr:pic>
    <xdr:clientData/>
  </xdr:oneCellAnchor>
  <xdr:oneCellAnchor>
    <xdr:from>
      <xdr:col>32</xdr:col>
      <xdr:colOff>6985</xdr:colOff>
      <xdr:row>195</xdr:row>
      <xdr:rowOff>95250</xdr:rowOff>
    </xdr:from>
    <xdr:ext cx="712568" cy="259080"/>
    <xdr:pic>
      <xdr:nvPicPr>
        <xdr:cNvPr id="3" name="Picture 2">
          <a:extLst>
            <a:ext uri="{FF2B5EF4-FFF2-40B4-BE49-F238E27FC236}">
              <a16:creationId xmlns:a16="http://schemas.microsoft.com/office/drawing/2014/main" id="{E009A702-ED15-4974-8ADE-E370BAF080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85840" y="37226240"/>
          <a:ext cx="712568" cy="259080"/>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350EFB0-EACE-4F2E-965F-30EBADAB0D63}" name="T_Material" displayName="T_Material" ref="D1:D10" totalsRowShown="0">
  <autoFilter ref="D1:D10" xr:uid="{4350EFB0-EACE-4F2E-965F-30EBADAB0D63}"/>
  <sortState xmlns:xlrd2="http://schemas.microsoft.com/office/spreadsheetml/2017/richdata2" ref="D2:D10">
    <sortCondition ref="D2:D10"/>
  </sortState>
  <tableColumns count="1">
    <tableColumn id="1" xr3:uid="{20635FEE-B87A-4613-8116-D42DBA41BC7B}" name="Material"/>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939741E-8EC4-48CA-B62A-CDE619601AF9}" name="T_Shape" displayName="T_Shape" ref="F1:F10" totalsRowShown="0">
  <autoFilter ref="F1:F10" xr:uid="{6939741E-8EC4-48CA-B62A-CDE619601AF9}"/>
  <sortState xmlns:xlrd2="http://schemas.microsoft.com/office/spreadsheetml/2017/richdata2" ref="F2:F10">
    <sortCondition ref="F2:F10"/>
  </sortState>
  <tableColumns count="1">
    <tableColumn id="1" xr3:uid="{FCA45FDF-4BF6-485F-9343-A0FC0251070A}" name="Shape"/>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397A227-8DCB-4BDE-A6B8-65F88654921D}" name="T_Type" displayName="T_Type" ref="H1:H4" totalsRowShown="0">
  <autoFilter ref="H1:H4" xr:uid="{2397A227-8DCB-4BDE-A6B8-65F88654921D}"/>
  <tableColumns count="1">
    <tableColumn id="1" xr3:uid="{027BD434-05A1-4059-97D8-98CB878E91EF}" name="Type"/>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8C10C78-AF29-47BA-9C97-B74BAA8C7E1E}" name="Table6" displayName="Table6" ref="J1:J22" totalsRowShown="0">
  <autoFilter ref="J1:J22" xr:uid="{88C10C78-AF29-47BA-9C97-B74BAA8C7E1E}"/>
  <tableColumns count="1">
    <tableColumn id="1" xr3:uid="{C70FD3B5-6EE9-47D3-96F9-BC5D876984C6}" name="Design Response"/>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7EAF2AD-1CB7-4551-84FE-0EF380DA06A5}" name="OP" displayName="OP" ref="H8:H14" totalsRowShown="0" headerRowDxfId="368" dataDxfId="367">
  <autoFilter ref="H8:H14" xr:uid="{A7EAF2AD-1CB7-4551-84FE-0EF380DA06A5}"/>
  <tableColumns count="1">
    <tableColumn id="1" xr3:uid="{6F544CFE-61C6-432C-A5DE-69323E328FB7}" name="Outlet Protection" dataDxfId="366"/>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514E1D8-C40F-48FA-A4B4-A4504FBD78F6}" name="Table810" displayName="Table810" ref="B11:B14" totalsRowShown="0" headerRowDxfId="365" dataDxfId="364">
  <autoFilter ref="B11:B14" xr:uid="{F514E1D8-C40F-48FA-A4B4-A4504FBD78F6}"/>
  <tableColumns count="1">
    <tableColumn id="1" xr3:uid="{98C2486E-9A6E-4168-B137-B9F394B82082}" name="Acceptance Table" dataDxfId="363"/>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52068DA-F181-4F93-9130-C46AA1408A2B}" name="Storms" displayName="Storms" ref="K26:L32" totalsRowShown="0" headerRowDxfId="362">
  <autoFilter ref="K26:L32" xr:uid="{852068DA-F181-4F93-9130-C46AA1408A2B}"/>
  <tableColumns count="2">
    <tableColumn id="1" xr3:uid="{008CF76C-B836-45AE-895D-644C39A165C0}" name="Known or Adj Storm" dataDxfId="361"/>
    <tableColumn id="2" xr3:uid="{82C241EF-93A2-4A72-9F1B-8C01222DD553}" name="Requirements" dataDxfId="360"/>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4A4BFF3-B0A2-4166-8235-D23D4EC4840B}" name="Table8" displayName="Table8" ref="L35:L37" totalsRowShown="0" headerRowDxfId="359" dataDxfId="358">
  <autoFilter ref="L35:L37" xr:uid="{64A4BFF3-B0A2-4166-8235-D23D4EC4840B}"/>
  <tableColumns count="1">
    <tableColumn id="1" xr3:uid="{06343F4F-5858-4F77-9822-7FE915C39614}" name="Question" dataDxfId="357"/>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5.xml"/><Relationship Id="rId3" Type="http://schemas.openxmlformats.org/officeDocument/2006/relationships/vmlDrawing" Target="../drawings/vmlDrawing1.vml"/><Relationship Id="rId7" Type="http://schemas.openxmlformats.org/officeDocument/2006/relationships/table" Target="../tables/table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11" Type="http://schemas.openxmlformats.org/officeDocument/2006/relationships/table" Target="../tables/table8.xml"/><Relationship Id="rId5" Type="http://schemas.openxmlformats.org/officeDocument/2006/relationships/table" Target="../tables/table2.xml"/><Relationship Id="rId10" Type="http://schemas.openxmlformats.org/officeDocument/2006/relationships/table" Target="../tables/table7.xml"/><Relationship Id="rId4" Type="http://schemas.openxmlformats.org/officeDocument/2006/relationships/table" Target="../tables/table1.xml"/><Relationship Id="rId9" Type="http://schemas.openxmlformats.org/officeDocument/2006/relationships/table" Target="../tables/table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5" Type="http://schemas.openxmlformats.org/officeDocument/2006/relationships/comments" Target="../comments3.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2CB43-2341-4A92-ACD7-244D3FF85EAC}">
  <sheetPr codeName="Sheet3">
    <tabColor rgb="FFFF0000"/>
  </sheetPr>
  <dimension ref="A1:R45"/>
  <sheetViews>
    <sheetView showGridLines="0" zoomScaleNormal="100" workbookViewId="0">
      <selection activeCell="F14" sqref="F14"/>
    </sheetView>
  </sheetViews>
  <sheetFormatPr defaultRowHeight="14.4" x14ac:dyDescent="0.3"/>
  <cols>
    <col min="1" max="1" width="28.44140625" bestFit="1" customWidth="1"/>
    <col min="2" max="2" width="23.21875" bestFit="1" customWidth="1"/>
    <col min="3" max="3" width="4.77734375" customWidth="1"/>
    <col min="4" max="4" width="26.33203125" bestFit="1" customWidth="1"/>
    <col min="5" max="5" width="3.77734375" customWidth="1"/>
    <col min="6" max="6" width="25" bestFit="1" customWidth="1"/>
    <col min="7" max="7" width="4.5546875" bestFit="1" customWidth="1"/>
    <col min="8" max="8" width="26" bestFit="1" customWidth="1"/>
    <col min="9" max="9" width="3.77734375" customWidth="1"/>
    <col min="10" max="10" width="72.6640625" bestFit="1" customWidth="1"/>
    <col min="11" max="11" width="20" customWidth="1"/>
    <col min="12" max="12" width="23.33203125" bestFit="1" customWidth="1"/>
    <col min="13" max="13" width="23.33203125" customWidth="1"/>
    <col min="14" max="15" width="20.44140625" bestFit="1" customWidth="1"/>
    <col min="16" max="16" width="25" bestFit="1" customWidth="1"/>
    <col min="17" max="18" width="20.44140625" bestFit="1" customWidth="1"/>
  </cols>
  <sheetData>
    <row r="1" spans="1:18" x14ac:dyDescent="0.3">
      <c r="A1" s="170" t="s">
        <v>505</v>
      </c>
      <c r="B1" s="171"/>
      <c r="D1" t="s">
        <v>23</v>
      </c>
      <c r="F1" t="s">
        <v>33</v>
      </c>
      <c r="H1" t="s">
        <v>63</v>
      </c>
      <c r="J1" t="s">
        <v>81</v>
      </c>
      <c r="K1">
        <v>1</v>
      </c>
      <c r="L1" s="158" t="s">
        <v>280</v>
      </c>
      <c r="M1" s="158" t="s">
        <v>516</v>
      </c>
      <c r="N1" s="158" t="s">
        <v>152</v>
      </c>
      <c r="O1" s="158" t="s">
        <v>246</v>
      </c>
      <c r="P1" s="158" t="s">
        <v>154</v>
      </c>
      <c r="Q1" s="158" t="s">
        <v>151</v>
      </c>
      <c r="R1" s="158" t="s">
        <v>153</v>
      </c>
    </row>
    <row r="2" spans="1:18" x14ac:dyDescent="0.3">
      <c r="A2" s="149" t="s">
        <v>506</v>
      </c>
      <c r="B2" s="150">
        <f>EDATE(F$13,B3)</f>
        <v>46296</v>
      </c>
      <c r="D2" t="s">
        <v>24</v>
      </c>
      <c r="F2" t="s">
        <v>292</v>
      </c>
      <c r="H2" t="s">
        <v>173</v>
      </c>
      <c r="J2" t="s">
        <v>83</v>
      </c>
      <c r="K2">
        <f>K1+1</f>
        <v>2</v>
      </c>
      <c r="L2" s="77" t="s">
        <v>5</v>
      </c>
      <c r="M2" s="131">
        <v>1</v>
      </c>
      <c r="N2" s="128">
        <v>1.1000000000000001</v>
      </c>
      <c r="O2" s="128">
        <v>1.1000000000000001</v>
      </c>
      <c r="P2" s="128">
        <v>1.2</v>
      </c>
      <c r="Q2" s="128">
        <v>1.1000000000000001</v>
      </c>
      <c r="R2" s="131">
        <v>1.1000000000000001</v>
      </c>
    </row>
    <row r="3" spans="1:18" x14ac:dyDescent="0.3">
      <c r="A3" s="151" t="s">
        <v>507</v>
      </c>
      <c r="B3" s="152">
        <v>12</v>
      </c>
      <c r="D3" t="s">
        <v>71</v>
      </c>
      <c r="F3" t="s">
        <v>293</v>
      </c>
      <c r="H3" t="s">
        <v>174</v>
      </c>
      <c r="J3" t="s">
        <v>76</v>
      </c>
      <c r="K3">
        <f t="shared" ref="K3:K23" si="0">K2+1</f>
        <v>3</v>
      </c>
      <c r="L3" s="77" t="s">
        <v>6</v>
      </c>
      <c r="M3" s="131">
        <v>6.02</v>
      </c>
      <c r="N3" s="128">
        <v>4.1100000000000003</v>
      </c>
      <c r="O3" s="128">
        <v>4.1399999999999997</v>
      </c>
      <c r="P3" s="128">
        <v>5.7</v>
      </c>
      <c r="Q3" s="128">
        <v>4.24</v>
      </c>
      <c r="R3" s="131">
        <v>4.21</v>
      </c>
    </row>
    <row r="4" spans="1:18" x14ac:dyDescent="0.3">
      <c r="A4" s="151" t="s">
        <v>508</v>
      </c>
      <c r="B4" s="153"/>
      <c r="D4" t="s">
        <v>72</v>
      </c>
      <c r="F4" t="s">
        <v>164</v>
      </c>
      <c r="H4" t="s">
        <v>285</v>
      </c>
      <c r="J4" t="s">
        <v>82</v>
      </c>
      <c r="K4">
        <f t="shared" si="0"/>
        <v>4</v>
      </c>
      <c r="L4" s="77" t="s">
        <v>7</v>
      </c>
      <c r="M4" s="131">
        <v>7.68</v>
      </c>
      <c r="N4" s="128">
        <v>5.01</v>
      </c>
      <c r="O4" s="128">
        <v>5.0599999999999996</v>
      </c>
      <c r="P4" s="128">
        <v>7.21</v>
      </c>
      <c r="Q4" s="128">
        <v>5.3</v>
      </c>
      <c r="R4" s="131">
        <v>5.24</v>
      </c>
    </row>
    <row r="5" spans="1:18" x14ac:dyDescent="0.3">
      <c r="A5" s="151" t="s">
        <v>509</v>
      </c>
      <c r="B5" s="152" t="s">
        <v>537</v>
      </c>
      <c r="D5" t="s">
        <v>28</v>
      </c>
      <c r="F5" t="s">
        <v>163</v>
      </c>
      <c r="J5" t="s">
        <v>73</v>
      </c>
      <c r="K5">
        <f t="shared" si="0"/>
        <v>5</v>
      </c>
      <c r="L5" s="77" t="s">
        <v>8</v>
      </c>
      <c r="M5" s="131">
        <v>9.26</v>
      </c>
      <c r="N5" s="128">
        <v>5.87</v>
      </c>
      <c r="O5" s="128">
        <v>5.91</v>
      </c>
      <c r="P5" s="128">
        <v>8.6300000000000008</v>
      </c>
      <c r="Q5" s="128">
        <v>6.24</v>
      </c>
      <c r="R5" s="131">
        <v>6.17</v>
      </c>
    </row>
    <row r="6" spans="1:18" x14ac:dyDescent="0.3">
      <c r="A6" s="151" t="s">
        <v>510</v>
      </c>
      <c r="B6" s="154">
        <f>IF(ISBLANK($B$4),$B$2,$B$4)</f>
        <v>46296</v>
      </c>
      <c r="D6" t="s">
        <v>26</v>
      </c>
      <c r="F6" t="s">
        <v>166</v>
      </c>
      <c r="J6" t="str">
        <f>"Velocity &gt; "&amp;F26&amp;" ft/s"</f>
        <v>Velocity &gt; 6 ft/s</v>
      </c>
      <c r="K6">
        <f t="shared" si="0"/>
        <v>6</v>
      </c>
      <c r="L6" s="77" t="s">
        <v>9</v>
      </c>
      <c r="M6" s="131">
        <v>11.7</v>
      </c>
      <c r="N6" s="128">
        <v>7.21</v>
      </c>
      <c r="O6" s="128">
        <v>7.26</v>
      </c>
      <c r="P6" s="128">
        <v>10.8</v>
      </c>
      <c r="Q6" s="128">
        <v>7.64</v>
      </c>
      <c r="R6" s="131">
        <v>7.55</v>
      </c>
    </row>
    <row r="7" spans="1:18" x14ac:dyDescent="0.3">
      <c r="A7" s="151" t="s">
        <v>511</v>
      </c>
      <c r="B7" s="155" t="b">
        <f>IF(License!$F$2="I ACCEPT",TRUE,FALSE)</f>
        <v>0</v>
      </c>
      <c r="D7" t="s">
        <v>25</v>
      </c>
      <c r="F7" t="s">
        <v>165</v>
      </c>
      <c r="J7" t="s">
        <v>497</v>
      </c>
      <c r="K7">
        <f t="shared" si="0"/>
        <v>7</v>
      </c>
      <c r="L7" s="77" t="s">
        <v>295</v>
      </c>
      <c r="M7" s="131">
        <v>13.9</v>
      </c>
      <c r="N7" s="128">
        <v>8.3699999999999992</v>
      </c>
      <c r="O7" s="128">
        <v>8.48</v>
      </c>
      <c r="P7" s="128">
        <v>12.7</v>
      </c>
      <c r="Q7" s="128">
        <v>8.8000000000000007</v>
      </c>
      <c r="R7" s="131">
        <v>8.6999999999999993</v>
      </c>
    </row>
    <row r="8" spans="1:18" x14ac:dyDescent="0.3">
      <c r="A8" s="156" t="s">
        <v>512</v>
      </c>
      <c r="B8" s="157" t="b">
        <f ca="1">OR(License!$F$4=B5, AND(B7=TRUE, NOW()&lt;B6))</f>
        <v>0</v>
      </c>
      <c r="D8" t="s">
        <v>30</v>
      </c>
      <c r="F8" t="s">
        <v>351</v>
      </c>
      <c r="H8" s="25" t="s">
        <v>483</v>
      </c>
      <c r="J8" t="s">
        <v>113</v>
      </c>
      <c r="K8">
        <f t="shared" si="0"/>
        <v>8</v>
      </c>
      <c r="L8" s="77" t="s">
        <v>10</v>
      </c>
      <c r="M8" s="131">
        <v>16.3</v>
      </c>
      <c r="N8" s="128">
        <v>9.65</v>
      </c>
      <c r="O8" s="128">
        <v>9.83</v>
      </c>
      <c r="P8" s="128">
        <v>14.8</v>
      </c>
      <c r="Q8" s="128">
        <v>10</v>
      </c>
      <c r="R8" s="131">
        <v>9.93</v>
      </c>
    </row>
    <row r="9" spans="1:18" ht="15.6" x14ac:dyDescent="0.35">
      <c r="A9" s="25"/>
      <c r="B9" s="25"/>
      <c r="D9" t="s">
        <v>27</v>
      </c>
      <c r="F9" t="s">
        <v>294</v>
      </c>
      <c r="H9" s="25" t="s">
        <v>484</v>
      </c>
      <c r="J9" t="s">
        <v>146</v>
      </c>
      <c r="K9">
        <f t="shared" si="0"/>
        <v>9</v>
      </c>
      <c r="L9" s="77" t="s">
        <v>249</v>
      </c>
      <c r="M9" s="159">
        <v>40574</v>
      </c>
      <c r="N9" s="132" t="s">
        <v>250</v>
      </c>
      <c r="O9" s="132" t="s">
        <v>251</v>
      </c>
      <c r="P9" s="132" t="s">
        <v>252</v>
      </c>
      <c r="Q9" s="132" t="s">
        <v>252</v>
      </c>
      <c r="R9" s="132" t="s">
        <v>253</v>
      </c>
    </row>
    <row r="10" spans="1:18" x14ac:dyDescent="0.3">
      <c r="A10" s="25"/>
      <c r="B10" s="25"/>
      <c r="D10" t="s">
        <v>70</v>
      </c>
      <c r="F10" t="s">
        <v>30</v>
      </c>
      <c r="H10" s="25" t="s">
        <v>485</v>
      </c>
      <c r="J10" t="s">
        <v>536</v>
      </c>
      <c r="K10">
        <f t="shared" si="0"/>
        <v>10</v>
      </c>
      <c r="L10" s="77" t="s">
        <v>254</v>
      </c>
      <c r="M10" s="137" t="s">
        <v>256</v>
      </c>
      <c r="N10" s="80" t="s">
        <v>255</v>
      </c>
      <c r="O10" s="80" t="s">
        <v>256</v>
      </c>
      <c r="P10" s="80" t="s">
        <v>255</v>
      </c>
      <c r="Q10" s="80" t="s">
        <v>255</v>
      </c>
      <c r="R10" s="80" t="s">
        <v>255</v>
      </c>
    </row>
    <row r="11" spans="1:18" x14ac:dyDescent="0.3">
      <c r="A11" s="25"/>
      <c r="B11" s="25" t="s">
        <v>513</v>
      </c>
      <c r="H11" s="25" t="s">
        <v>486</v>
      </c>
      <c r="J11" t="s">
        <v>245</v>
      </c>
      <c r="K11">
        <f t="shared" si="0"/>
        <v>11</v>
      </c>
      <c r="L11" s="77" t="s">
        <v>257</v>
      </c>
      <c r="M11" s="137" t="s">
        <v>546</v>
      </c>
      <c r="N11" s="80" t="s">
        <v>258</v>
      </c>
      <c r="O11" s="80" t="s">
        <v>120</v>
      </c>
      <c r="P11" s="80" t="s">
        <v>120</v>
      </c>
      <c r="Q11" s="80" t="s">
        <v>120</v>
      </c>
      <c r="R11" s="80" t="s">
        <v>120</v>
      </c>
    </row>
    <row r="12" spans="1:18" x14ac:dyDescent="0.3">
      <c r="A12" s="25"/>
      <c r="B12" s="25" t="s">
        <v>514</v>
      </c>
      <c r="H12" s="25" t="s">
        <v>487</v>
      </c>
      <c r="J12" t="s">
        <v>239</v>
      </c>
      <c r="K12">
        <f t="shared" si="0"/>
        <v>12</v>
      </c>
      <c r="L12" s="77" t="s">
        <v>275</v>
      </c>
      <c r="M12" s="137"/>
      <c r="N12" s="80"/>
      <c r="O12" s="80"/>
      <c r="P12" s="80" t="s">
        <v>276</v>
      </c>
      <c r="Q12" s="80" t="s">
        <v>291</v>
      </c>
      <c r="R12" s="80"/>
    </row>
    <row r="13" spans="1:18" x14ac:dyDescent="0.3">
      <c r="A13" s="25"/>
      <c r="B13" s="25" t="s">
        <v>500</v>
      </c>
      <c r="D13" s="77" t="s">
        <v>237</v>
      </c>
      <c r="F13" s="126">
        <v>45931</v>
      </c>
      <c r="H13" s="25" t="s">
        <v>488</v>
      </c>
      <c r="J13" t="s">
        <v>278</v>
      </c>
      <c r="K13">
        <f t="shared" si="0"/>
        <v>13</v>
      </c>
      <c r="L13" s="77" t="s">
        <v>277</v>
      </c>
      <c r="M13" s="137">
        <v>6</v>
      </c>
      <c r="N13" s="80">
        <v>5</v>
      </c>
      <c r="O13" s="80">
        <v>5</v>
      </c>
      <c r="P13" s="80">
        <v>5</v>
      </c>
      <c r="Q13" s="80">
        <v>6</v>
      </c>
      <c r="R13" s="80">
        <v>6</v>
      </c>
    </row>
    <row r="14" spans="1:18" x14ac:dyDescent="0.3">
      <c r="A14" s="25"/>
      <c r="B14" s="25" t="s">
        <v>515</v>
      </c>
      <c r="D14" s="82" t="s">
        <v>155</v>
      </c>
      <c r="F14" s="127" t="s">
        <v>516</v>
      </c>
      <c r="H14" s="25" t="s">
        <v>30</v>
      </c>
      <c r="J14" t="s">
        <v>240</v>
      </c>
      <c r="K14">
        <f t="shared" si="0"/>
        <v>14</v>
      </c>
      <c r="L14" s="77" t="s">
        <v>286</v>
      </c>
      <c r="M14" s="160" t="s">
        <v>331</v>
      </c>
      <c r="N14" s="130"/>
      <c r="O14" s="130"/>
      <c r="P14" s="133" t="s">
        <v>331</v>
      </c>
      <c r="Q14" s="133" t="s">
        <v>287</v>
      </c>
      <c r="R14" s="133" t="s">
        <v>288</v>
      </c>
    </row>
    <row r="15" spans="1:18" ht="16.2" x14ac:dyDescent="0.3">
      <c r="D15" s="77" t="s">
        <v>5</v>
      </c>
      <c r="F15" s="128">
        <f>HLOOKUP($F$14,$M$1:$R$23,2)</f>
        <v>1</v>
      </c>
      <c r="G15" s="80" t="str">
        <f>TEXT(F15,"0.00")</f>
        <v>1.00</v>
      </c>
      <c r="J15" t="s">
        <v>298</v>
      </c>
      <c r="K15">
        <f t="shared" si="0"/>
        <v>15</v>
      </c>
      <c r="L15" s="77" t="s">
        <v>296</v>
      </c>
      <c r="M15" s="137" t="s">
        <v>297</v>
      </c>
      <c r="N15" s="80" t="s">
        <v>297</v>
      </c>
      <c r="O15" s="80" t="s">
        <v>297</v>
      </c>
      <c r="P15" s="80" t="s">
        <v>297</v>
      </c>
      <c r="Q15" s="80" t="s">
        <v>297</v>
      </c>
      <c r="R15" s="80" t="s">
        <v>297</v>
      </c>
    </row>
    <row r="16" spans="1:18" x14ac:dyDescent="0.3">
      <c r="D16" s="77" t="s">
        <v>6</v>
      </c>
      <c r="F16" s="128">
        <f>HLOOKUP($F$14,$M$1:$R$23,3)</f>
        <v>6.02</v>
      </c>
      <c r="J16" t="str">
        <f>F25&amp;" has not been provided"</f>
        <v>0 has not been provided</v>
      </c>
      <c r="K16">
        <f t="shared" si="0"/>
        <v>16</v>
      </c>
      <c r="L16" s="77" t="s">
        <v>349</v>
      </c>
      <c r="M16" s="137">
        <v>6</v>
      </c>
      <c r="N16" s="80">
        <v>6</v>
      </c>
      <c r="O16" s="80">
        <v>6</v>
      </c>
      <c r="P16" s="80">
        <v>6</v>
      </c>
      <c r="Q16" s="80">
        <v>6</v>
      </c>
      <c r="R16" s="80">
        <v>6</v>
      </c>
    </row>
    <row r="17" spans="4:18" x14ac:dyDescent="0.3">
      <c r="D17" s="77" t="s">
        <v>7</v>
      </c>
      <c r="F17" s="128">
        <f>HLOOKUP($F$14,$M$1:$R$23,4)</f>
        <v>7.68</v>
      </c>
      <c r="G17" s="81"/>
      <c r="J17" t="s">
        <v>426</v>
      </c>
      <c r="K17">
        <f t="shared" si="0"/>
        <v>17</v>
      </c>
      <c r="L17" s="77" t="s">
        <v>350</v>
      </c>
      <c r="M17" s="137" t="s">
        <v>141</v>
      </c>
      <c r="N17" s="137" t="s">
        <v>141</v>
      </c>
      <c r="O17" s="137" t="s">
        <v>141</v>
      </c>
      <c r="P17" s="137" t="s">
        <v>141</v>
      </c>
      <c r="Q17" s="137" t="s">
        <v>141</v>
      </c>
      <c r="R17" s="137" t="s">
        <v>141</v>
      </c>
    </row>
    <row r="18" spans="4:18" x14ac:dyDescent="0.3">
      <c r="D18" s="77" t="s">
        <v>8</v>
      </c>
      <c r="F18" s="128">
        <f>HLOOKUP($F$14,$M$1:$R$23,5)</f>
        <v>9.26</v>
      </c>
      <c r="J18" t="str">
        <f>"Known flooding:  "&amp;'Form 2F.1 - Design'!AS158&amp;"-yr discharge &gt; "&amp;'Form 2F.1 - Design'!AR158&amp;"-yr discharge"</f>
        <v>Known flooding:  2, 5, 10, 25, 50, and 100-yr discharge &gt; 2, 5, 10, 25, 50, and 100-yr discharge</v>
      </c>
      <c r="K18">
        <f t="shared" si="0"/>
        <v>18</v>
      </c>
      <c r="L18" s="77" t="s">
        <v>356</v>
      </c>
      <c r="M18" s="137">
        <v>2</v>
      </c>
      <c r="N18" s="137">
        <v>2</v>
      </c>
      <c r="O18" s="137">
        <v>2</v>
      </c>
      <c r="P18" s="137">
        <v>2</v>
      </c>
      <c r="Q18" s="137">
        <v>25</v>
      </c>
      <c r="R18" s="137">
        <v>25</v>
      </c>
    </row>
    <row r="19" spans="4:18" x14ac:dyDescent="0.3">
      <c r="D19" s="77" t="s">
        <v>9</v>
      </c>
      <c r="F19" s="128">
        <f>HLOOKUP($F$14,$M$1:$R$23,6)</f>
        <v>11.7</v>
      </c>
      <c r="J19" t="str">
        <f>"Drains to adjacent property:  "&amp;'Form 2F.1 - Design'!AS158&amp;"-yr discharge &gt; "&amp;'Form 2F.1 - Design'!AR158&amp;"-yr discharge"</f>
        <v>Drains to adjacent property:  2, 5, 10, 25, 50, and 100-yr discharge &gt; 2, 5, 10, 25, 50, and 100-yr discharge</v>
      </c>
      <c r="K19" s="25">
        <f t="shared" si="0"/>
        <v>19</v>
      </c>
      <c r="L19" s="77" t="s">
        <v>472</v>
      </c>
      <c r="M19" s="137" t="str">
        <f t="shared" ref="M19" si="1">VLOOKUP(M18,$K$27:$L$32,2)</f>
        <v>2, 5, 10, 25, 50, and 100</v>
      </c>
      <c r="N19" s="137" t="str">
        <f>VLOOKUP(N18,$K$27:$L$32,2)</f>
        <v>2, 5, 10, 25, 50, and 100</v>
      </c>
      <c r="O19" s="137" t="str">
        <f>VLOOKUP(O18,$K$27:$L$32,2)</f>
        <v>2, 5, 10, 25, 50, and 100</v>
      </c>
      <c r="P19" s="137" t="str">
        <f>VLOOKUP(P18,$K$27:$L$32,2)</f>
        <v>2, 5, 10, 25, 50, and 100</v>
      </c>
      <c r="Q19" s="137" t="str">
        <f>VLOOKUP(Q18,$K$27:$L$32,2)</f>
        <v>25, 50, and 100</v>
      </c>
      <c r="R19" s="137" t="str">
        <f>VLOOKUP(R18,$K$27:$L$32,2)</f>
        <v>25, 50, and 100</v>
      </c>
    </row>
    <row r="20" spans="4:18" x14ac:dyDescent="0.3">
      <c r="D20" s="77" t="s">
        <v>295</v>
      </c>
      <c r="F20" s="128">
        <f>HLOOKUP($F$14,$M$1:$R$23,7)</f>
        <v>13.9</v>
      </c>
      <c r="J20" t="s">
        <v>346</v>
      </c>
      <c r="K20" s="25">
        <f t="shared" si="0"/>
        <v>20</v>
      </c>
      <c r="L20" s="77" t="s">
        <v>357</v>
      </c>
      <c r="M20" s="137" t="s">
        <v>141</v>
      </c>
      <c r="N20" s="137" t="s">
        <v>157</v>
      </c>
      <c r="O20" s="137" t="s">
        <v>157</v>
      </c>
      <c r="P20" s="137" t="s">
        <v>157</v>
      </c>
      <c r="Q20" s="137" t="s">
        <v>157</v>
      </c>
      <c r="R20" s="137" t="s">
        <v>157</v>
      </c>
    </row>
    <row r="21" spans="4:18" x14ac:dyDescent="0.3">
      <c r="D21" s="77" t="s">
        <v>10</v>
      </c>
      <c r="F21" s="128">
        <f>HLOOKUP($F$14,$M$1:$R$23,8)</f>
        <v>16.3</v>
      </c>
      <c r="J21" t="s">
        <v>443</v>
      </c>
      <c r="K21" s="25">
        <f t="shared" si="0"/>
        <v>21</v>
      </c>
      <c r="L21" s="77" t="s">
        <v>358</v>
      </c>
      <c r="M21" s="137">
        <v>2</v>
      </c>
      <c r="N21" s="137">
        <v>2</v>
      </c>
      <c r="O21" s="137">
        <v>2</v>
      </c>
      <c r="P21" s="137">
        <v>2</v>
      </c>
      <c r="Q21" s="137">
        <v>25</v>
      </c>
      <c r="R21" s="137">
        <v>25</v>
      </c>
    </row>
    <row r="22" spans="4:18" x14ac:dyDescent="0.3">
      <c r="D22" s="77" t="s">
        <v>249</v>
      </c>
      <c r="F22" s="129">
        <f>HLOOKUP($F$14,$M$1:$R$23,9)</f>
        <v>40574</v>
      </c>
      <c r="J22" s="25" t="s">
        <v>490</v>
      </c>
      <c r="K22" s="25">
        <f t="shared" si="0"/>
        <v>22</v>
      </c>
      <c r="L22" s="77" t="s">
        <v>473</v>
      </c>
      <c r="M22" s="137" t="str">
        <f t="shared" ref="M22" si="2">VLOOKUP(M21,$K$27:$L$32,2)</f>
        <v>2, 5, 10, 25, 50, and 100</v>
      </c>
      <c r="N22" s="137" t="str">
        <f>VLOOKUP(N21,$K$27:$L$32,2)</f>
        <v>2, 5, 10, 25, 50, and 100</v>
      </c>
      <c r="O22" s="137" t="str">
        <f>VLOOKUP(O21,$K$27:$L$32,2)</f>
        <v>2, 5, 10, 25, 50, and 100</v>
      </c>
      <c r="P22" s="137" t="str">
        <f>VLOOKUP(P21,$K$27:$L$32,2)</f>
        <v>2, 5, 10, 25, 50, and 100</v>
      </c>
      <c r="Q22" s="137" t="str">
        <f>VLOOKUP(Q21,$K$27:$L$32,2)</f>
        <v>25, 50, and 100</v>
      </c>
      <c r="R22" s="137" t="str">
        <f>VLOOKUP(R21,$K$27:$L$32,2)</f>
        <v>25, 50, and 100</v>
      </c>
    </row>
    <row r="23" spans="4:18" x14ac:dyDescent="0.3">
      <c r="D23" s="77" t="s">
        <v>259</v>
      </c>
      <c r="F23" s="129" t="str">
        <f>HLOOKUP($F$14,$M$1:$R$23,10)</f>
        <v>County</v>
      </c>
      <c r="K23" s="25">
        <f t="shared" si="0"/>
        <v>23</v>
      </c>
      <c r="L23" s="77" t="s">
        <v>471</v>
      </c>
      <c r="M23" s="137" t="s">
        <v>547</v>
      </c>
      <c r="N23" s="137" t="s">
        <v>548</v>
      </c>
      <c r="O23" s="137" t="s">
        <v>548</v>
      </c>
      <c r="P23" s="137" t="s">
        <v>548</v>
      </c>
      <c r="Q23" s="137" t="s">
        <v>549</v>
      </c>
      <c r="R23" s="137" t="s">
        <v>548</v>
      </c>
    </row>
    <row r="24" spans="4:18" x14ac:dyDescent="0.3">
      <c r="D24" s="77" t="s">
        <v>257</v>
      </c>
      <c r="F24" s="129" t="str">
        <f>HLOOKUP($F$14,$M$1:$R$23,11)</f>
        <v xml:space="preserve"> O&amp;M Plan</v>
      </c>
      <c r="K24" s="25">
        <v>24</v>
      </c>
      <c r="L24" s="77" t="s">
        <v>517</v>
      </c>
      <c r="M24" s="137" t="s">
        <v>516</v>
      </c>
      <c r="N24" s="137" t="s">
        <v>518</v>
      </c>
      <c r="O24" s="137" t="s">
        <v>519</v>
      </c>
      <c r="P24" s="137" t="s">
        <v>520</v>
      </c>
      <c r="Q24" s="137" t="s">
        <v>521</v>
      </c>
      <c r="R24" s="137" t="s">
        <v>522</v>
      </c>
    </row>
    <row r="25" spans="4:18" x14ac:dyDescent="0.3">
      <c r="D25" s="77" t="s">
        <v>275</v>
      </c>
      <c r="F25" s="80">
        <f>HLOOKUP($F$14,$M$1:$R$23,12)</f>
        <v>0</v>
      </c>
      <c r="K25" s="25"/>
      <c r="L25" s="25"/>
      <c r="M25" s="25"/>
      <c r="N25" s="25"/>
      <c r="O25" s="25"/>
      <c r="P25" s="25"/>
      <c r="Q25" s="25"/>
      <c r="R25" s="25"/>
    </row>
    <row r="26" spans="4:18" x14ac:dyDescent="0.3">
      <c r="D26" s="77" t="s">
        <v>277</v>
      </c>
      <c r="F26" s="128">
        <f>HLOOKUP($F$14,$M$1:$R$23,13)</f>
        <v>6</v>
      </c>
      <c r="K26" s="137" t="s">
        <v>474</v>
      </c>
      <c r="L26" s="137" t="s">
        <v>475</v>
      </c>
      <c r="M26" s="137"/>
      <c r="O26" s="25"/>
      <c r="P26" s="25"/>
      <c r="Q26" s="25"/>
      <c r="R26" s="25"/>
    </row>
    <row r="27" spans="4:18" x14ac:dyDescent="0.3">
      <c r="D27" s="77" t="s">
        <v>289</v>
      </c>
      <c r="F27" s="130" t="str">
        <f>HLOOKUP($F$14,$M$1:$R$23,14)</f>
        <v>31 December</v>
      </c>
      <c r="K27" s="25">
        <v>2</v>
      </c>
      <c r="L27" s="77" t="s">
        <v>297</v>
      </c>
      <c r="M27" s="77"/>
      <c r="O27" s="25"/>
      <c r="P27" s="25"/>
      <c r="Q27" s="25"/>
      <c r="R27" s="25"/>
    </row>
    <row r="28" spans="4:18" x14ac:dyDescent="0.3">
      <c r="D28" s="77" t="s">
        <v>296</v>
      </c>
      <c r="F28" s="130" t="str">
        <f>HLOOKUP($F$14,$M$1:$R$23,15)</f>
        <v>2, 5, 10, 25, 50, and 100</v>
      </c>
      <c r="K28" s="25">
        <v>5</v>
      </c>
      <c r="L28" s="77" t="s">
        <v>477</v>
      </c>
      <c r="M28" s="77"/>
      <c r="O28" s="25"/>
      <c r="P28" s="25"/>
      <c r="Q28" s="25"/>
      <c r="R28" s="25"/>
    </row>
    <row r="29" spans="4:18" x14ac:dyDescent="0.3">
      <c r="D29" s="77" t="s">
        <v>350</v>
      </c>
      <c r="E29" s="111"/>
      <c r="F29" s="130" t="str">
        <f>HLOOKUP($F$14,$M$1:$R$23,17)</f>
        <v>No</v>
      </c>
      <c r="K29" s="25">
        <v>10</v>
      </c>
      <c r="L29" s="77" t="s">
        <v>478</v>
      </c>
      <c r="M29" s="77"/>
      <c r="N29" s="25"/>
      <c r="O29" s="25"/>
      <c r="P29" s="25"/>
      <c r="Q29" s="25"/>
      <c r="R29" s="25"/>
    </row>
    <row r="30" spans="4:18" x14ac:dyDescent="0.3">
      <c r="D30" s="77" t="s">
        <v>356</v>
      </c>
      <c r="E30" s="111"/>
      <c r="F30" s="111" t="str">
        <f>HLOOKUP($F$14,$M$1:$R$23,19)</f>
        <v>2, 5, 10, 25, 50, and 100</v>
      </c>
      <c r="K30" s="25">
        <v>25</v>
      </c>
      <c r="L30" s="77" t="s">
        <v>479</v>
      </c>
      <c r="M30" s="77"/>
      <c r="N30" s="25"/>
      <c r="O30" s="25"/>
      <c r="P30" s="25"/>
      <c r="Q30" s="25"/>
      <c r="R30" s="25"/>
    </row>
    <row r="31" spans="4:18" x14ac:dyDescent="0.3">
      <c r="D31" s="77" t="s">
        <v>472</v>
      </c>
      <c r="E31" s="111"/>
      <c r="F31" s="111">
        <f>HLOOKUP($F$14,$M$1:$R$23,18)</f>
        <v>2</v>
      </c>
      <c r="K31" s="25">
        <v>50</v>
      </c>
      <c r="L31" s="77" t="s">
        <v>480</v>
      </c>
      <c r="M31" s="77"/>
      <c r="N31" s="25"/>
      <c r="O31" s="25"/>
      <c r="P31" s="25"/>
      <c r="Q31" s="25"/>
      <c r="R31" s="25"/>
    </row>
    <row r="32" spans="4:18" x14ac:dyDescent="0.3">
      <c r="D32" s="77" t="s">
        <v>357</v>
      </c>
      <c r="E32" s="111"/>
      <c r="F32" s="130" t="str">
        <f>HLOOKUP($F$14,$M$1:$R$23,20)</f>
        <v>No</v>
      </c>
      <c r="K32" s="25">
        <v>100</v>
      </c>
      <c r="L32" s="77">
        <v>100</v>
      </c>
      <c r="M32" s="77"/>
      <c r="N32" s="25"/>
      <c r="O32" s="25"/>
      <c r="P32" s="25"/>
      <c r="Q32" s="25"/>
      <c r="R32" s="25"/>
    </row>
    <row r="33" spans="4:18" x14ac:dyDescent="0.3">
      <c r="D33" s="77" t="s">
        <v>358</v>
      </c>
      <c r="E33" s="111"/>
      <c r="F33" s="111">
        <f>HLOOKUP($F$14,$M$1:$R$23,21)</f>
        <v>2</v>
      </c>
      <c r="N33" s="25"/>
      <c r="O33" s="25"/>
      <c r="P33" s="25"/>
      <c r="Q33" s="25"/>
      <c r="R33" s="25"/>
    </row>
    <row r="34" spans="4:18" x14ac:dyDescent="0.3">
      <c r="D34" s="77" t="s">
        <v>473</v>
      </c>
      <c r="E34" s="111"/>
      <c r="F34" s="111" t="str">
        <f>HLOOKUP($F$14,$M$1:$R$23,22)</f>
        <v>2, 5, 10, 25, 50, and 100</v>
      </c>
      <c r="K34" s="25"/>
      <c r="M34" s="77"/>
      <c r="N34" s="25"/>
      <c r="O34" s="25"/>
      <c r="P34" s="25"/>
      <c r="Q34" s="25"/>
      <c r="R34" s="25"/>
    </row>
    <row r="35" spans="4:18" x14ac:dyDescent="0.3">
      <c r="D35" s="77" t="s">
        <v>481</v>
      </c>
      <c r="E35" s="111"/>
      <c r="F35" s="138">
        <f>MIN(F31,F34)</f>
        <v>2</v>
      </c>
      <c r="K35" s="25"/>
      <c r="L35" s="137" t="s">
        <v>476</v>
      </c>
      <c r="M35" s="77"/>
      <c r="N35" s="25"/>
      <c r="O35" s="25"/>
      <c r="P35" s="25"/>
      <c r="Q35" s="25"/>
      <c r="R35" s="25"/>
    </row>
    <row r="36" spans="4:18" x14ac:dyDescent="0.3">
      <c r="D36" s="77" t="s">
        <v>482</v>
      </c>
      <c r="E36" s="111"/>
      <c r="F36" s="137" t="str">
        <f>VLOOKUP(F35,$K$27:$L$32,2)</f>
        <v>2, 5, 10, 25, 50, and 100</v>
      </c>
      <c r="K36" s="25"/>
      <c r="L36" s="137" t="s">
        <v>157</v>
      </c>
      <c r="M36" s="77"/>
      <c r="N36" s="25"/>
      <c r="O36" s="25"/>
      <c r="P36" s="25"/>
      <c r="Q36" s="25"/>
      <c r="R36" s="25"/>
    </row>
    <row r="37" spans="4:18" x14ac:dyDescent="0.3">
      <c r="D37" s="82" t="s">
        <v>471</v>
      </c>
      <c r="F37" s="111" t="str">
        <f>HLOOKUP($F$14,$M$1:$R$23,23)</f>
        <v>Drainage Rights</v>
      </c>
      <c r="K37" s="25"/>
      <c r="L37" s="137" t="s">
        <v>141</v>
      </c>
      <c r="M37" s="25"/>
      <c r="N37" s="25"/>
      <c r="O37" s="25"/>
      <c r="P37" s="25"/>
      <c r="Q37" s="25"/>
      <c r="R37" s="25"/>
    </row>
    <row r="38" spans="4:18" x14ac:dyDescent="0.3">
      <c r="D38" s="82" t="s">
        <v>517</v>
      </c>
      <c r="F38" s="111" t="str">
        <f>HLOOKUP($F$14,$M$1:$R$24,24)</f>
        <v>Baldwin County</v>
      </c>
    </row>
    <row r="39" spans="4:18" x14ac:dyDescent="0.3">
      <c r="H39" s="97" t="s">
        <v>269</v>
      </c>
    </row>
    <row r="40" spans="4:18" ht="64.95" customHeight="1" x14ac:dyDescent="0.3">
      <c r="D40" s="25"/>
      <c r="E40" s="161" t="s">
        <v>516</v>
      </c>
      <c r="F40" s="25"/>
    </row>
    <row r="41" spans="4:18" ht="64.95" customHeight="1" x14ac:dyDescent="0.3">
      <c r="E41" s="77" t="s">
        <v>152</v>
      </c>
    </row>
    <row r="42" spans="4:18" ht="64.95" customHeight="1" x14ac:dyDescent="0.3">
      <c r="E42" s="77" t="s">
        <v>246</v>
      </c>
    </row>
    <row r="43" spans="4:18" ht="64.95" customHeight="1" x14ac:dyDescent="0.3">
      <c r="E43" s="77" t="s">
        <v>154</v>
      </c>
    </row>
    <row r="44" spans="4:18" ht="64.95" customHeight="1" x14ac:dyDescent="0.3">
      <c r="E44" s="77" t="s">
        <v>151</v>
      </c>
    </row>
    <row r="45" spans="4:18" ht="64.95" customHeight="1" x14ac:dyDescent="0.3">
      <c r="E45" s="77" t="s">
        <v>153</v>
      </c>
    </row>
  </sheetData>
  <mergeCells count="1">
    <mergeCell ref="A1:B1"/>
  </mergeCells>
  <dataValidations count="3">
    <dataValidation type="list" allowBlank="1" showInputMessage="1" showErrorMessage="1" sqref="F14" xr:uid="{72F3BB5F-638F-49B0-81F5-3EA65ED35E7A}">
      <formula1>$M$1:$R$1</formula1>
    </dataValidation>
    <dataValidation type="list" allowBlank="1" showInputMessage="1" showErrorMessage="1" sqref="M21:R21 M18:R18" xr:uid="{F8270EA3-C23E-46B3-9B7C-75FC241906BE}">
      <formula1>$K$27:$K$32</formula1>
    </dataValidation>
    <dataValidation type="list" allowBlank="1" showInputMessage="1" showErrorMessage="1" sqref="M20:R20 M17:R17" xr:uid="{F8F8F7B9-6E0F-4B8B-A2EB-332C5A503BAB}">
      <formula1>$L$36:$L$37</formula1>
    </dataValidation>
  </dataValidations>
  <pageMargins left="0.7" right="0.7" top="0.75" bottom="0.75" header="0.3" footer="0.3"/>
  <pageSetup orientation="portrait" horizontalDpi="1200" verticalDpi="1200" r:id="rId1"/>
  <drawing r:id="rId2"/>
  <legacyDrawing r:id="rId3"/>
  <tableParts count="8">
    <tablePart r:id="rId4"/>
    <tablePart r:id="rId5"/>
    <tablePart r:id="rId6"/>
    <tablePart r:id="rId7"/>
    <tablePart r:id="rId8"/>
    <tablePart r:id="rId9"/>
    <tablePart r:id="rId10"/>
    <tablePart r:id="rId1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2442E-5BDD-4EB7-ACA3-35258981D945}">
  <sheetPr codeName="Sheet4">
    <tabColor theme="2" tint="-0.499984740745262"/>
    <pageSetUpPr fitToPage="1"/>
  </sheetPr>
  <dimension ref="A1:Z56"/>
  <sheetViews>
    <sheetView showGridLines="0" showRowColHeaders="0" tabSelected="1" topLeftCell="B1" zoomScale="130" zoomScaleNormal="130" workbookViewId="0">
      <pane ySplit="3" topLeftCell="A5" activePane="bottomLeft" state="frozen"/>
      <selection activeCell="B1" sqref="B1"/>
      <selection pane="bottomLeft" activeCell="F2" sqref="F2"/>
    </sheetView>
  </sheetViews>
  <sheetFormatPr defaultColWidth="0" defaultRowHeight="19.95" customHeight="1" zeroHeight="1" x14ac:dyDescent="0.3"/>
  <cols>
    <col min="1" max="1" width="8.88671875" style="145" hidden="1" customWidth="1"/>
    <col min="2" max="2" width="4.77734375" style="12" customWidth="1"/>
    <col min="3" max="3" width="5.77734375" style="11" customWidth="1"/>
    <col min="4" max="4" width="24.77734375" style="12" customWidth="1"/>
    <col min="5" max="5" width="8.88671875" style="12" customWidth="1"/>
    <col min="6" max="6" width="20.77734375" style="12" customWidth="1"/>
    <col min="7" max="15" width="8.88671875" style="12" customWidth="1"/>
    <col min="16" max="19" width="8.88671875" customWidth="1"/>
    <col min="20" max="20" width="8.88671875" style="12" customWidth="1"/>
    <col min="21" max="24" width="0" style="12" hidden="1" customWidth="1"/>
    <col min="25" max="25" width="8.88671875" style="12" hidden="1" customWidth="1"/>
    <col min="26" max="26" width="0" style="12" hidden="1" customWidth="1"/>
    <col min="27" max="16384" width="8.88671875" style="12" hidden="1"/>
  </cols>
  <sheetData>
    <row r="1" spans="1:20" ht="19.95" customHeight="1" x14ac:dyDescent="0.3">
      <c r="C1" s="49" t="s">
        <v>554</v>
      </c>
      <c r="N1" s="144" t="s">
        <v>498</v>
      </c>
      <c r="O1" s="172">
        <f>Tables!F13</f>
        <v>45931</v>
      </c>
      <c r="P1" s="172"/>
    </row>
    <row r="2" spans="1:20" ht="19.95" customHeight="1" x14ac:dyDescent="0.3">
      <c r="A2" s="147">
        <f>IF(OR(F2="I ACCEPT",F2="I DO NOT ACCEPT"),1,2)</f>
        <v>2</v>
      </c>
      <c r="E2" s="144" t="s">
        <v>499</v>
      </c>
      <c r="F2" s="146" t="s">
        <v>514</v>
      </c>
      <c r="N2" s="144" t="s">
        <v>501</v>
      </c>
      <c r="O2" s="172">
        <f>Tables!B6</f>
        <v>46296</v>
      </c>
      <c r="P2" s="172"/>
    </row>
    <row r="3" spans="1:20" ht="19.95" customHeight="1" x14ac:dyDescent="0.3">
      <c r="A3" s="147">
        <f ca="1">IF(F3="Workbook is Locked and Unavailable",2,1)</f>
        <v>2</v>
      </c>
      <c r="E3" s="144" t="s">
        <v>502</v>
      </c>
      <c r="F3" s="173" t="str">
        <f ca="1">IF(Tables!$B$8,"Workbook is Active","Workbook is Locked and Unavailable")</f>
        <v>Workbook is Locked and Unavailable</v>
      </c>
      <c r="G3" s="173"/>
      <c r="H3" s="173"/>
    </row>
    <row r="4" spans="1:20" ht="19.95" hidden="1" customHeight="1" x14ac:dyDescent="0.3">
      <c r="A4" s="148"/>
      <c r="B4" s="145"/>
      <c r="C4" s="162"/>
      <c r="D4" s="145"/>
      <c r="E4" s="96" t="s">
        <v>504</v>
      </c>
      <c r="F4" s="91"/>
      <c r="G4" s="145"/>
      <c r="H4" s="145"/>
      <c r="I4" s="145"/>
      <c r="J4" s="145"/>
      <c r="K4" s="145"/>
      <c r="L4" s="145"/>
      <c r="M4" s="145"/>
      <c r="N4" s="145"/>
      <c r="O4" s="145"/>
      <c r="P4" s="145"/>
      <c r="Q4" s="145"/>
      <c r="R4" s="145"/>
      <c r="S4" s="145"/>
      <c r="T4" s="145"/>
    </row>
    <row r="5" spans="1:20" ht="19.95" customHeight="1" x14ac:dyDescent="0.3">
      <c r="E5" s="144"/>
    </row>
    <row r="6" spans="1:20" ht="19.95" customHeight="1" x14ac:dyDescent="0.3">
      <c r="D6" s="164"/>
      <c r="E6" s="164" t="s">
        <v>503</v>
      </c>
      <c r="F6" s="12" t="s">
        <v>555</v>
      </c>
    </row>
    <row r="7" spans="1:20" ht="19.95" customHeight="1" x14ac:dyDescent="0.3">
      <c r="D7" s="164"/>
      <c r="E7" s="165"/>
      <c r="F7" s="12" t="str">
        <f>"By clicking I ACCEPT above, you represent that you are (a) preparing a post-construction submittal for "&amp;Tables!$F$38&amp;" and/or"</f>
        <v>By clicking I ACCEPT above, you represent that you are (a) preparing a post-construction submittal for Baldwin County and/or</v>
      </c>
    </row>
    <row r="8" spans="1:20" ht="19.95" customHeight="1" x14ac:dyDescent="0.3">
      <c r="D8" s="164"/>
      <c r="E8" s="165"/>
      <c r="F8" s="12" t="s">
        <v>556</v>
      </c>
    </row>
    <row r="9" spans="1:20" ht="19.95" customHeight="1" x14ac:dyDescent="0.3">
      <c r="D9" s="164"/>
      <c r="E9" s="165"/>
      <c r="F9" s="12" t="s">
        <v>557</v>
      </c>
    </row>
    <row r="10" spans="1:20" ht="19.95" customHeight="1" x14ac:dyDescent="0.3">
      <c r="D10" s="164"/>
      <c r="E10" s="165"/>
    </row>
    <row r="11" spans="1:20" ht="19.95" customHeight="1" x14ac:dyDescent="0.3">
      <c r="D11" s="164">
        <v>1</v>
      </c>
      <c r="E11" s="5" t="s">
        <v>558</v>
      </c>
    </row>
    <row r="12" spans="1:20" ht="19.95" customHeight="1" x14ac:dyDescent="0.3">
      <c r="A12" s="148"/>
      <c r="D12" s="164"/>
      <c r="E12" s="165"/>
      <c r="F12" s="12" t="s">
        <v>523</v>
      </c>
      <c r="P12" s="12"/>
      <c r="Q12" s="12"/>
      <c r="R12" s="12"/>
      <c r="S12" s="12"/>
    </row>
    <row r="13" spans="1:20" ht="19.95" customHeight="1" x14ac:dyDescent="0.3">
      <c r="C13" s="12"/>
      <c r="D13" s="164"/>
      <c r="E13" s="165"/>
      <c r="F13" s="12" t="str">
        <f>"and submit post-construction application materials to "&amp;Tables!$F$38&amp;" and for the User's internal recordkeeping for those"</f>
        <v>and submit post-construction application materials to Baldwin County and for the User's internal recordkeeping for those</v>
      </c>
      <c r="P13" s="12"/>
      <c r="Q13" s="12"/>
      <c r="R13" s="12"/>
      <c r="S13" s="12"/>
    </row>
    <row r="14" spans="1:20" ht="19.95" customHeight="1" x14ac:dyDescent="0.3">
      <c r="D14" s="164"/>
      <c r="E14" s="165"/>
      <c r="F14" s="12" t="s">
        <v>524</v>
      </c>
      <c r="P14" s="12"/>
      <c r="Q14" s="12"/>
      <c r="R14" s="12"/>
      <c r="S14" s="12"/>
    </row>
    <row r="15" spans="1:20" ht="19.95" customHeight="1" x14ac:dyDescent="0.3">
      <c r="C15" s="49"/>
      <c r="D15" s="164"/>
      <c r="E15" s="165"/>
      <c r="F15" s="12" t="s">
        <v>559</v>
      </c>
    </row>
    <row r="16" spans="1:20" ht="19.95" customHeight="1" x14ac:dyDescent="0.3">
      <c r="C16" s="49"/>
      <c r="D16" s="164">
        <v>2</v>
      </c>
      <c r="E16" s="5" t="s">
        <v>525</v>
      </c>
    </row>
    <row r="17" spans="4:12" ht="19.95" customHeight="1" x14ac:dyDescent="0.3">
      <c r="D17" s="164"/>
      <c r="E17" s="165"/>
      <c r="F17" s="12" t="s">
        <v>526</v>
      </c>
      <c r="G17" s="163"/>
      <c r="H17" s="163"/>
      <c r="I17" s="163"/>
      <c r="J17" s="163"/>
      <c r="K17" s="163"/>
      <c r="L17" s="163"/>
    </row>
    <row r="18" spans="4:12" ht="19.95" customHeight="1" x14ac:dyDescent="0.3">
      <c r="D18" s="164"/>
      <c r="E18" s="165"/>
      <c r="F18" s="12" t="s">
        <v>527</v>
      </c>
      <c r="G18" s="163"/>
      <c r="H18" s="163"/>
      <c r="I18" s="163"/>
      <c r="J18" s="163"/>
      <c r="K18" s="163"/>
      <c r="L18" s="163"/>
    </row>
    <row r="19" spans="4:12" ht="19.95" customHeight="1" x14ac:dyDescent="0.3">
      <c r="D19" s="164">
        <v>3</v>
      </c>
      <c r="E19" s="165" t="s">
        <v>528</v>
      </c>
    </row>
    <row r="20" spans="4:12" ht="19.95" customHeight="1" x14ac:dyDescent="0.3">
      <c r="D20" s="164"/>
      <c r="E20" s="165"/>
      <c r="F20" s="12" t="s">
        <v>539</v>
      </c>
    </row>
    <row r="21" spans="4:12" ht="19.95" customHeight="1" x14ac:dyDescent="0.3">
      <c r="D21" s="164"/>
      <c r="E21" s="165"/>
      <c r="F21" s="12" t="s">
        <v>560</v>
      </c>
    </row>
    <row r="22" spans="4:12" ht="19.95" customHeight="1" x14ac:dyDescent="0.3">
      <c r="D22" s="164"/>
      <c r="E22" s="165"/>
      <c r="F22" s="12" t="str">
        <f>"forms to the "&amp;Tables!$F$23&amp;" as intended.  The "&amp;Tables!$F$23&amp;" may host and distribute the unmodified Tool to prospective submitters for"</f>
        <v>forms to the County as intended.  The County may host and distribute the unmodified Tool to prospective submitters for</v>
      </c>
      <c r="G22" s="52"/>
      <c r="H22" s="52"/>
      <c r="I22" s="52"/>
      <c r="J22" s="52"/>
      <c r="K22" s="52"/>
      <c r="L22" s="52"/>
    </row>
    <row r="23" spans="4:12" ht="19.95" customHeight="1" x14ac:dyDescent="0.3">
      <c r="D23" s="164"/>
      <c r="E23" s="165"/>
      <c r="F23" s="12" t="s">
        <v>561</v>
      </c>
      <c r="G23" s="52"/>
      <c r="H23" s="52"/>
      <c r="I23" s="52"/>
      <c r="J23" s="52"/>
      <c r="K23" s="52"/>
      <c r="L23" s="52"/>
    </row>
    <row r="24" spans="4:12" ht="19.95" customHeight="1" x14ac:dyDescent="0.3">
      <c r="D24" s="164">
        <v>4</v>
      </c>
      <c r="E24" s="165" t="s">
        <v>529</v>
      </c>
      <c r="G24" s="52"/>
      <c r="H24" s="52"/>
      <c r="I24" s="52"/>
      <c r="J24" s="52"/>
      <c r="K24" s="52"/>
      <c r="L24" s="52"/>
    </row>
    <row r="25" spans="4:12" ht="19.95" customHeight="1" x14ac:dyDescent="0.3">
      <c r="D25" s="164"/>
      <c r="E25" s="165"/>
      <c r="F25" s="12" t="s">
        <v>540</v>
      </c>
      <c r="G25" s="51"/>
      <c r="H25" s="51"/>
      <c r="I25" s="51"/>
      <c r="J25" s="51"/>
      <c r="K25" s="51"/>
      <c r="L25" s="51"/>
    </row>
    <row r="26" spans="4:12" ht="19.95" customHeight="1" x14ac:dyDescent="0.3">
      <c r="D26" s="164"/>
      <c r="E26" s="165"/>
      <c r="F26" s="12" t="s">
        <v>562</v>
      </c>
      <c r="G26" s="51"/>
      <c r="H26" s="51"/>
      <c r="I26" s="51"/>
      <c r="J26" s="51"/>
      <c r="K26" s="51"/>
      <c r="L26" s="51"/>
    </row>
    <row r="27" spans="4:12" ht="19.95" customHeight="1" x14ac:dyDescent="0.3">
      <c r="D27" s="164"/>
      <c r="E27" s="165"/>
      <c r="F27" s="12" t="s">
        <v>563</v>
      </c>
      <c r="G27" s="51"/>
      <c r="H27" s="51"/>
      <c r="I27" s="51"/>
      <c r="J27" s="51"/>
      <c r="K27" s="51"/>
      <c r="L27" s="51"/>
    </row>
    <row r="28" spans="4:12" ht="19.95" customHeight="1" x14ac:dyDescent="0.3">
      <c r="D28" s="164">
        <v>5</v>
      </c>
      <c r="E28" s="165" t="s">
        <v>530</v>
      </c>
      <c r="G28" s="52"/>
      <c r="H28" s="52"/>
      <c r="I28" s="52"/>
      <c r="J28" s="52"/>
      <c r="K28" s="52"/>
      <c r="L28" s="52"/>
    </row>
    <row r="29" spans="4:12" ht="19.95" customHeight="1" x14ac:dyDescent="0.3">
      <c r="D29" s="164"/>
      <c r="E29" s="165"/>
      <c r="F29" s="12" t="str">
        <f>"Outputs and application materials generated with the Tool may be public records of "&amp;Tables!$F$38&amp;"; the Tool itself"</f>
        <v>Outputs and application materials generated with the Tool may be public records of Baldwin County; the Tool itself</v>
      </c>
      <c r="G29" s="52"/>
      <c r="H29" s="52"/>
      <c r="I29" s="52"/>
      <c r="J29" s="52"/>
      <c r="K29" s="52"/>
      <c r="L29" s="52"/>
    </row>
    <row r="30" spans="4:12" ht="19.95" customHeight="1" x14ac:dyDescent="0.3">
      <c r="D30" s="164"/>
      <c r="E30" s="165"/>
      <c r="F30" s="12" t="s">
        <v>564</v>
      </c>
      <c r="G30" s="52"/>
      <c r="H30" s="52"/>
      <c r="I30" s="52"/>
      <c r="J30" s="52"/>
      <c r="K30" s="52"/>
      <c r="L30" s="52"/>
    </row>
    <row r="31" spans="4:12" ht="19.95" customHeight="1" x14ac:dyDescent="0.3">
      <c r="D31" s="164">
        <v>6</v>
      </c>
      <c r="E31" s="165" t="s">
        <v>566</v>
      </c>
      <c r="G31" s="52"/>
      <c r="H31" s="52"/>
      <c r="I31" s="52"/>
      <c r="J31" s="52"/>
      <c r="K31" s="52"/>
      <c r="L31" s="52"/>
    </row>
    <row r="32" spans="4:12" ht="19.95" customHeight="1" x14ac:dyDescent="0.3">
      <c r="D32" s="164"/>
      <c r="E32" s="165"/>
      <c r="F32" s="12" t="str">
        <f>"The Tool is a convenience aid and does not constitute engineering, legal or compliance advice. The "&amp;Tables!$F$38&amp;"'s standards and"</f>
        <v>The Tool is a convenience aid and does not constitute engineering, legal or compliance advice. The Baldwin County's standards and</v>
      </c>
      <c r="G32" s="52"/>
      <c r="H32" s="52"/>
      <c r="I32" s="52"/>
      <c r="J32" s="52"/>
      <c r="K32" s="52"/>
      <c r="L32" s="52"/>
    </row>
    <row r="33" spans="4:12" ht="19.95" customHeight="1" x14ac:dyDescent="0.3">
      <c r="D33" s="164"/>
      <c r="E33" s="165"/>
      <c r="F33" s="12" t="s">
        <v>565</v>
      </c>
      <c r="G33" s="52"/>
      <c r="H33" s="52"/>
      <c r="I33" s="52"/>
      <c r="J33" s="52"/>
      <c r="K33" s="52"/>
      <c r="L33" s="52"/>
    </row>
    <row r="34" spans="4:12" ht="19.95" customHeight="1" x14ac:dyDescent="0.3">
      <c r="D34" s="164">
        <v>7</v>
      </c>
      <c r="E34" s="165" t="s">
        <v>531</v>
      </c>
      <c r="G34" s="52"/>
      <c r="H34" s="52"/>
      <c r="I34" s="52"/>
      <c r="J34" s="52"/>
      <c r="K34" s="52"/>
      <c r="L34" s="52"/>
    </row>
    <row r="35" spans="4:12" ht="19.95" customHeight="1" x14ac:dyDescent="0.3">
      <c r="D35" s="164"/>
      <c r="E35" s="165"/>
      <c r="F35" s="12" t="s">
        <v>541</v>
      </c>
      <c r="G35" s="52"/>
      <c r="H35" s="52"/>
      <c r="I35" s="52"/>
      <c r="J35" s="52"/>
      <c r="K35" s="52"/>
      <c r="L35" s="52"/>
    </row>
    <row r="36" spans="4:12" ht="19.95" customHeight="1" x14ac:dyDescent="0.3">
      <c r="D36" s="164"/>
      <c r="E36" s="165"/>
      <c r="F36" s="12" t="s">
        <v>567</v>
      </c>
      <c r="G36" s="52"/>
      <c r="H36" s="52"/>
      <c r="I36" s="52"/>
      <c r="J36" s="52"/>
      <c r="K36" s="52"/>
      <c r="L36" s="52"/>
    </row>
    <row r="37" spans="4:12" ht="19.95" customHeight="1" x14ac:dyDescent="0.3">
      <c r="D37" s="164"/>
      <c r="E37" s="165"/>
      <c r="F37" s="12" t="s">
        <v>542</v>
      </c>
      <c r="G37" s="52"/>
      <c r="H37" s="52"/>
      <c r="I37" s="52"/>
      <c r="J37" s="52"/>
      <c r="K37" s="52"/>
      <c r="L37" s="52"/>
    </row>
    <row r="38" spans="4:12" ht="19.95" customHeight="1" x14ac:dyDescent="0.3">
      <c r="D38" s="164">
        <v>8</v>
      </c>
      <c r="E38" s="165" t="s">
        <v>532</v>
      </c>
    </row>
    <row r="39" spans="4:12" ht="19.95" customHeight="1" x14ac:dyDescent="0.3">
      <c r="D39" s="164"/>
      <c r="E39" s="165"/>
      <c r="F39" s="12" t="s">
        <v>533</v>
      </c>
      <c r="G39" s="52"/>
      <c r="H39" s="52"/>
      <c r="I39" s="52"/>
      <c r="J39" s="52"/>
      <c r="K39" s="52"/>
      <c r="L39" s="52"/>
    </row>
    <row r="40" spans="4:12" ht="19.95" customHeight="1" x14ac:dyDescent="0.3">
      <c r="D40" s="164"/>
      <c r="E40" s="165"/>
      <c r="F40" s="12" t="s">
        <v>534</v>
      </c>
      <c r="G40" s="52"/>
      <c r="H40" s="52"/>
      <c r="I40" s="52"/>
      <c r="J40" s="52"/>
      <c r="K40" s="52"/>
      <c r="L40" s="52"/>
    </row>
    <row r="41" spans="4:12" ht="19.95" customHeight="1" x14ac:dyDescent="0.3">
      <c r="D41" s="164">
        <v>9</v>
      </c>
      <c r="E41" s="165" t="s">
        <v>568</v>
      </c>
      <c r="G41" s="52"/>
      <c r="H41" s="52"/>
      <c r="I41" s="52"/>
      <c r="J41" s="52"/>
      <c r="K41" s="52"/>
      <c r="L41" s="52"/>
    </row>
    <row r="42" spans="4:12" ht="19.95" customHeight="1" x14ac:dyDescent="0.3">
      <c r="D42" s="164"/>
      <c r="E42" s="165"/>
      <c r="F42" s="12" t="s">
        <v>569</v>
      </c>
      <c r="G42" s="52"/>
      <c r="H42" s="52"/>
      <c r="I42" s="52"/>
      <c r="J42" s="52"/>
      <c r="K42" s="52"/>
      <c r="L42" s="52"/>
    </row>
    <row r="43" spans="4:12" ht="19.95" customHeight="1" x14ac:dyDescent="0.3">
      <c r="D43" s="164">
        <v>10</v>
      </c>
      <c r="E43" s="165" t="s">
        <v>570</v>
      </c>
      <c r="G43" s="52"/>
      <c r="H43" s="52"/>
      <c r="I43" s="52"/>
      <c r="J43" s="52"/>
      <c r="K43" s="52"/>
      <c r="L43" s="52"/>
    </row>
    <row r="44" spans="4:12" ht="19.95" customHeight="1" x14ac:dyDescent="0.3">
      <c r="D44" s="164"/>
      <c r="E44" s="165"/>
      <c r="F44" s="12" t="s">
        <v>571</v>
      </c>
      <c r="G44" s="52"/>
      <c r="H44" s="52"/>
      <c r="I44" s="52"/>
      <c r="J44" s="52"/>
      <c r="K44" s="52"/>
      <c r="L44" s="52"/>
    </row>
    <row r="45" spans="4:12" ht="19.95" customHeight="1" x14ac:dyDescent="0.3">
      <c r="D45" s="164"/>
      <c r="E45" s="165"/>
      <c r="F45" s="12" t="s">
        <v>572</v>
      </c>
      <c r="G45" s="52"/>
      <c r="H45" s="52"/>
      <c r="I45" s="52"/>
      <c r="J45" s="52"/>
      <c r="K45" s="52"/>
      <c r="L45" s="52"/>
    </row>
    <row r="46" spans="4:12" ht="19.95" customHeight="1" x14ac:dyDescent="0.3">
      <c r="D46" s="164">
        <v>11</v>
      </c>
      <c r="E46" s="165" t="s">
        <v>573</v>
      </c>
      <c r="G46" s="52"/>
      <c r="H46" s="52"/>
      <c r="I46" s="52"/>
      <c r="J46" s="52"/>
      <c r="K46" s="52"/>
      <c r="L46" s="52"/>
    </row>
    <row r="47" spans="4:12" ht="19.95" customHeight="1" x14ac:dyDescent="0.3">
      <c r="D47" s="164"/>
      <c r="E47" s="165"/>
      <c r="F47" s="12" t="s">
        <v>574</v>
      </c>
      <c r="G47" s="52"/>
      <c r="H47" s="52"/>
      <c r="I47" s="52"/>
      <c r="J47" s="52"/>
      <c r="K47" s="52"/>
      <c r="L47" s="52"/>
    </row>
    <row r="48" spans="4:12" ht="19.95" customHeight="1" x14ac:dyDescent="0.3">
      <c r="D48" s="164"/>
      <c r="E48" s="165"/>
      <c r="F48" s="12" t="s">
        <v>575</v>
      </c>
      <c r="G48" s="52"/>
      <c r="H48" s="52"/>
      <c r="I48" s="52"/>
      <c r="J48" s="52"/>
      <c r="K48" s="52"/>
      <c r="L48" s="52"/>
    </row>
    <row r="49" spans="4:12" ht="19.95" customHeight="1" x14ac:dyDescent="0.3">
      <c r="D49" s="164"/>
      <c r="E49" s="165"/>
      <c r="F49" s="12" t="s">
        <v>576</v>
      </c>
      <c r="G49" s="52"/>
      <c r="H49" s="52"/>
      <c r="I49" s="52"/>
      <c r="J49" s="52"/>
      <c r="K49" s="52"/>
      <c r="L49" s="52"/>
    </row>
    <row r="50" spans="4:12" ht="19.95" customHeight="1" x14ac:dyDescent="0.3">
      <c r="D50" s="164"/>
      <c r="E50" s="165"/>
      <c r="F50" s="12" t="s">
        <v>577</v>
      </c>
      <c r="G50" s="52"/>
      <c r="H50" s="52"/>
      <c r="I50" s="52"/>
      <c r="J50" s="52"/>
      <c r="K50" s="52"/>
      <c r="L50" s="52"/>
    </row>
    <row r="51" spans="4:12" ht="19.95" customHeight="1" x14ac:dyDescent="0.3">
      <c r="D51" s="164">
        <v>12</v>
      </c>
      <c r="E51" s="165" t="s">
        <v>535</v>
      </c>
      <c r="G51" s="52"/>
      <c r="H51" s="52"/>
      <c r="I51" s="52"/>
      <c r="J51" s="52"/>
      <c r="K51" s="52"/>
      <c r="L51" s="52"/>
    </row>
    <row r="52" spans="4:12" ht="19.95" customHeight="1" x14ac:dyDescent="0.3">
      <c r="D52" s="164"/>
      <c r="E52" s="165"/>
      <c r="F52" s="12" t="s">
        <v>578</v>
      </c>
      <c r="G52" s="52"/>
      <c r="H52" s="52"/>
      <c r="I52" s="52"/>
      <c r="J52" s="52"/>
      <c r="K52" s="52"/>
      <c r="L52" s="52"/>
    </row>
    <row r="53" spans="4:12" ht="19.95" customHeight="1" x14ac:dyDescent="0.3">
      <c r="D53" s="164"/>
      <c r="E53" s="165"/>
      <c r="G53" s="52"/>
      <c r="H53" s="52"/>
      <c r="I53" s="52"/>
      <c r="J53" s="52"/>
      <c r="K53" s="52"/>
      <c r="L53" s="52"/>
    </row>
    <row r="54" spans="4:12" ht="19.95" customHeight="1" x14ac:dyDescent="0.3">
      <c r="D54" s="164"/>
      <c r="E54" s="165"/>
    </row>
    <row r="55" spans="4:12" ht="19.95" customHeight="1" x14ac:dyDescent="0.3">
      <c r="D55" s="164"/>
      <c r="E55" s="165"/>
    </row>
    <row r="56" spans="4:12" ht="19.95" hidden="1" customHeight="1" x14ac:dyDescent="0.3">
      <c r="D56" s="164"/>
      <c r="E56" s="165"/>
    </row>
  </sheetData>
  <sheetProtection algorithmName="SHA-512" hashValue="joTDylyICwmUockQPJzrwQbtDgog0g26JqLdCmNa66GuUstkvhY6i1LFJW+qTlMC1meRNsuwJA2/NuMk5E3QWQ==" saltValue="1fN/fsKQXFAu/kVzxj0BAQ==" spinCount="100000" sheet="1" objects="1" scenarios="1" selectLockedCells="1"/>
  <mergeCells count="3">
    <mergeCell ref="O1:P1"/>
    <mergeCell ref="O2:P2"/>
    <mergeCell ref="F3:H3"/>
  </mergeCells>
  <conditionalFormatting sqref="F2">
    <cfRule type="expression" dxfId="356" priority="1341">
      <formula>$A$2=2</formula>
    </cfRule>
  </conditionalFormatting>
  <conditionalFormatting sqref="F3:H3">
    <cfRule type="expression" dxfId="355" priority="1342">
      <formula>$A$3=2</formula>
    </cfRule>
    <cfRule type="expression" dxfId="354" priority="1343">
      <formula>$A$3=2</formula>
    </cfRule>
  </conditionalFormatting>
  <pageMargins left="0.2" right="0.2" top="0.5" bottom="0.25" header="0.3" footer="0.3"/>
  <pageSetup scale="9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2F620DF-22D6-41D0-8C32-D4606D07BA0C}">
          <x14:formula1>
            <xm:f>Tables!$B$12:$B$14</xm:f>
          </x14:formula1>
          <xm:sqref>F2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A5401-160D-487A-8F7D-2AD46148F5A5}">
  <sheetPr codeName="Sheet1">
    <tabColor theme="2" tint="-0.499984740745262"/>
    <pageSetUpPr fitToPage="1"/>
  </sheetPr>
  <dimension ref="A1:V57"/>
  <sheetViews>
    <sheetView showGridLines="0" showRowColHeaders="0" zoomScale="130" zoomScaleNormal="130" workbookViewId="0"/>
  </sheetViews>
  <sheetFormatPr defaultColWidth="0" defaultRowHeight="0" customHeight="1" zeroHeight="1" x14ac:dyDescent="0.3"/>
  <cols>
    <col min="1" max="1" width="2.77734375" style="12" customWidth="1"/>
    <col min="2" max="2" width="5.77734375" style="11" customWidth="1"/>
    <col min="3" max="8" width="2.77734375" style="12" customWidth="1"/>
    <col min="9" max="10" width="8.88671875" style="12" customWidth="1"/>
    <col min="11" max="11" width="20.77734375" style="12" customWidth="1"/>
    <col min="12" max="18" width="8.88671875" style="12" customWidth="1"/>
    <col min="19" max="21" width="8.88671875" style="12" hidden="1" customWidth="1"/>
    <col min="22" max="22" width="0" style="12" hidden="1" customWidth="1"/>
    <col min="23" max="16384" width="8.88671875" style="12" hidden="1"/>
  </cols>
  <sheetData>
    <row r="1" spans="2:17" ht="19.95" customHeight="1" x14ac:dyDescent="0.3"/>
    <row r="2" spans="2:17" ht="19.95" customHeight="1" x14ac:dyDescent="0.3">
      <c r="B2" s="49" t="s">
        <v>65</v>
      </c>
    </row>
    <row r="3" spans="2:17" ht="4.95" customHeight="1" x14ac:dyDescent="0.3">
      <c r="B3" s="49"/>
    </row>
    <row r="4" spans="2:17" ht="19.95" customHeight="1" x14ac:dyDescent="0.3">
      <c r="B4" s="11">
        <v>1</v>
      </c>
      <c r="C4" s="175" t="s">
        <v>283</v>
      </c>
      <c r="D4" s="175"/>
      <c r="E4" s="175"/>
      <c r="F4" s="175"/>
      <c r="G4" s="175"/>
      <c r="H4" s="175"/>
      <c r="I4" s="175"/>
      <c r="J4" s="175"/>
      <c r="K4" s="175"/>
      <c r="L4" s="175"/>
      <c r="M4" s="175"/>
      <c r="N4" s="175"/>
      <c r="O4" s="175"/>
      <c r="P4" s="175"/>
      <c r="Q4" s="175"/>
    </row>
    <row r="5" spans="2:17" ht="19.95" customHeight="1" x14ac:dyDescent="0.3">
      <c r="C5" s="175"/>
      <c r="D5" s="175"/>
      <c r="E5" s="175"/>
      <c r="F5" s="175"/>
      <c r="G5" s="175"/>
      <c r="H5" s="175"/>
      <c r="I5" s="175"/>
      <c r="J5" s="175"/>
      <c r="K5" s="175"/>
      <c r="L5" s="175"/>
      <c r="M5" s="175"/>
      <c r="N5" s="175"/>
      <c r="O5" s="175"/>
      <c r="P5" s="175"/>
      <c r="Q5" s="175"/>
    </row>
    <row r="6" spans="2:17" ht="19.95" customHeight="1" x14ac:dyDescent="0.3">
      <c r="B6" s="11">
        <f>B4+1</f>
        <v>2</v>
      </c>
      <c r="C6" s="12" t="s">
        <v>67</v>
      </c>
    </row>
    <row r="7" spans="2:17" ht="19.95" customHeight="1" x14ac:dyDescent="0.3">
      <c r="C7" s="13"/>
      <c r="D7" s="13"/>
      <c r="E7" s="13"/>
      <c r="F7" s="13"/>
      <c r="I7" s="12" t="s">
        <v>64</v>
      </c>
    </row>
    <row r="8" spans="2:17" ht="10.050000000000001" customHeight="1" x14ac:dyDescent="0.3"/>
    <row r="9" spans="2:17" ht="15" customHeight="1" x14ac:dyDescent="0.3">
      <c r="C9" s="14"/>
      <c r="D9" s="14"/>
      <c r="E9" s="14"/>
      <c r="F9" s="14"/>
      <c r="I9" s="174" t="s">
        <v>270</v>
      </c>
      <c r="J9" s="174"/>
      <c r="K9" s="174"/>
      <c r="L9" s="174"/>
      <c r="M9" s="174"/>
      <c r="N9" s="174"/>
      <c r="O9" s="174"/>
      <c r="P9" s="174"/>
      <c r="Q9" s="174"/>
    </row>
    <row r="10" spans="2:17" ht="15" customHeight="1" x14ac:dyDescent="0.3">
      <c r="I10" s="174"/>
      <c r="J10" s="174"/>
      <c r="K10" s="174"/>
      <c r="L10" s="174"/>
      <c r="M10" s="174"/>
      <c r="N10" s="174"/>
      <c r="O10" s="174"/>
      <c r="P10" s="174"/>
      <c r="Q10" s="174"/>
    </row>
    <row r="11" spans="2:17" ht="10.050000000000001" customHeight="1" x14ac:dyDescent="0.3">
      <c r="I11" s="51"/>
      <c r="J11" s="51"/>
      <c r="K11" s="51"/>
      <c r="L11" s="51"/>
      <c r="M11" s="51"/>
      <c r="N11" s="51"/>
      <c r="O11" s="51"/>
      <c r="P11" s="51"/>
      <c r="Q11" s="51"/>
    </row>
    <row r="12" spans="2:17" ht="15" customHeight="1" x14ac:dyDescent="0.3">
      <c r="F12" s="18"/>
      <c r="I12" s="174" t="s">
        <v>212</v>
      </c>
      <c r="J12" s="174"/>
      <c r="K12" s="174"/>
      <c r="L12" s="174"/>
      <c r="M12" s="174"/>
      <c r="N12" s="174"/>
      <c r="O12" s="174"/>
      <c r="P12" s="174"/>
      <c r="Q12" s="174"/>
    </row>
    <row r="13" spans="2:17" ht="15" customHeight="1" x14ac:dyDescent="0.3">
      <c r="I13" s="174"/>
      <c r="J13" s="174"/>
      <c r="K13" s="174"/>
      <c r="L13" s="174"/>
      <c r="M13" s="174"/>
      <c r="N13" s="174"/>
      <c r="O13" s="174"/>
      <c r="P13" s="174"/>
      <c r="Q13" s="174"/>
    </row>
    <row r="14" spans="2:17" ht="15" customHeight="1" x14ac:dyDescent="0.3">
      <c r="I14" s="174"/>
      <c r="J14" s="174"/>
      <c r="K14" s="174"/>
      <c r="L14" s="174"/>
      <c r="M14" s="174"/>
      <c r="N14" s="174"/>
      <c r="O14" s="174"/>
      <c r="P14" s="174"/>
      <c r="Q14" s="174"/>
    </row>
    <row r="15" spans="2:17" ht="15" customHeight="1" x14ac:dyDescent="0.3">
      <c r="I15" s="174"/>
      <c r="J15" s="174"/>
      <c r="K15" s="174"/>
      <c r="L15" s="174"/>
      <c r="M15" s="174"/>
      <c r="N15" s="174"/>
      <c r="O15" s="174"/>
      <c r="P15" s="174"/>
      <c r="Q15" s="174"/>
    </row>
    <row r="16" spans="2:17" ht="10.050000000000001" customHeight="1" x14ac:dyDescent="0.3">
      <c r="I16" s="52"/>
      <c r="J16" s="52"/>
      <c r="K16" s="52"/>
      <c r="L16" s="52"/>
      <c r="M16" s="52"/>
      <c r="N16" s="52"/>
      <c r="O16" s="52"/>
      <c r="P16" s="52"/>
      <c r="Q16" s="52"/>
    </row>
    <row r="17" spans="3:17" ht="15" customHeight="1" x14ac:dyDescent="0.3">
      <c r="C17" s="18"/>
      <c r="D17" s="26" t="s">
        <v>123</v>
      </c>
      <c r="E17" s="26"/>
      <c r="F17" s="18"/>
      <c r="G17" s="26" t="s">
        <v>124</v>
      </c>
      <c r="I17" s="174" t="s">
        <v>183</v>
      </c>
      <c r="J17" s="174"/>
      <c r="K17" s="174"/>
      <c r="L17" s="174"/>
      <c r="M17" s="174"/>
      <c r="N17" s="174"/>
      <c r="O17" s="174"/>
      <c r="P17" s="174"/>
      <c r="Q17" s="174"/>
    </row>
    <row r="18" spans="3:17" ht="15" customHeight="1" x14ac:dyDescent="0.3">
      <c r="I18" s="174"/>
      <c r="J18" s="174"/>
      <c r="K18" s="174"/>
      <c r="L18" s="174"/>
      <c r="M18" s="174"/>
      <c r="N18" s="174"/>
      <c r="O18" s="174"/>
      <c r="P18" s="174"/>
      <c r="Q18" s="174"/>
    </row>
    <row r="19" spans="3:17" ht="10.050000000000001" customHeight="1" x14ac:dyDescent="0.3"/>
    <row r="20" spans="3:17" ht="15" customHeight="1" x14ac:dyDescent="0.3">
      <c r="C20" s="15"/>
      <c r="D20" s="15"/>
      <c r="E20" s="15"/>
      <c r="F20" s="15"/>
      <c r="I20" s="174" t="s">
        <v>66</v>
      </c>
      <c r="J20" s="174"/>
      <c r="K20" s="174"/>
      <c r="L20" s="174"/>
      <c r="M20" s="174"/>
      <c r="N20" s="174"/>
      <c r="O20" s="174"/>
      <c r="P20" s="174"/>
      <c r="Q20" s="174"/>
    </row>
    <row r="21" spans="3:17" ht="15" customHeight="1" x14ac:dyDescent="0.3">
      <c r="I21" s="174"/>
      <c r="J21" s="174"/>
      <c r="K21" s="174"/>
      <c r="L21" s="174"/>
      <c r="M21" s="174"/>
      <c r="N21" s="174"/>
      <c r="O21" s="174"/>
      <c r="P21" s="174"/>
      <c r="Q21" s="174"/>
    </row>
    <row r="22" spans="3:17" ht="15" customHeight="1" x14ac:dyDescent="0.3">
      <c r="I22" s="174"/>
      <c r="J22" s="174"/>
      <c r="K22" s="174"/>
      <c r="L22" s="174"/>
      <c r="M22" s="174"/>
      <c r="N22" s="174"/>
      <c r="O22" s="174"/>
      <c r="P22" s="174"/>
      <c r="Q22" s="174"/>
    </row>
    <row r="23" spans="3:17" ht="19.95" customHeight="1" x14ac:dyDescent="0.3">
      <c r="I23" s="174"/>
      <c r="J23" s="174"/>
      <c r="K23" s="174"/>
      <c r="L23" s="174"/>
      <c r="M23" s="174"/>
      <c r="N23" s="174"/>
      <c r="O23" s="174"/>
      <c r="P23" s="174"/>
      <c r="Q23" s="174"/>
    </row>
    <row r="24" spans="3:17" ht="10.050000000000001" customHeight="1" x14ac:dyDescent="0.3">
      <c r="I24" s="52"/>
      <c r="J24" s="52"/>
      <c r="K24" s="52"/>
      <c r="L24" s="52"/>
      <c r="M24" s="52"/>
      <c r="N24" s="52"/>
      <c r="O24" s="52"/>
      <c r="P24" s="52"/>
      <c r="Q24" s="52"/>
    </row>
    <row r="25" spans="3:17" ht="15" customHeight="1" x14ac:dyDescent="0.3">
      <c r="C25" s="16"/>
      <c r="D25" s="16"/>
      <c r="E25" s="16"/>
      <c r="F25" s="16"/>
      <c r="I25" s="174" t="s">
        <v>114</v>
      </c>
      <c r="J25" s="174"/>
      <c r="K25" s="174"/>
      <c r="L25" s="174"/>
      <c r="M25" s="174"/>
      <c r="N25" s="174"/>
      <c r="O25" s="174"/>
      <c r="P25" s="174"/>
      <c r="Q25" s="174"/>
    </row>
    <row r="26" spans="3:17" ht="15" customHeight="1" x14ac:dyDescent="0.3">
      <c r="I26" s="174"/>
      <c r="J26" s="174"/>
      <c r="K26" s="174"/>
      <c r="L26" s="174"/>
      <c r="M26" s="174"/>
      <c r="N26" s="174"/>
      <c r="O26" s="174"/>
      <c r="P26" s="174"/>
      <c r="Q26" s="174"/>
    </row>
    <row r="27" spans="3:17" ht="10.050000000000001" customHeight="1" x14ac:dyDescent="0.3"/>
    <row r="28" spans="3:17" ht="19.95" customHeight="1" x14ac:dyDescent="0.3">
      <c r="C28" s="17" t="s">
        <v>31</v>
      </c>
      <c r="D28" s="17"/>
      <c r="E28" s="17"/>
      <c r="F28" s="17"/>
      <c r="I28" s="12" t="s">
        <v>284</v>
      </c>
    </row>
    <row r="29" spans="3:17" ht="10.050000000000001" customHeight="1" x14ac:dyDescent="0.3"/>
    <row r="30" spans="3:17" ht="19.95" customHeight="1" x14ac:dyDescent="0.3">
      <c r="C30" s="5" t="s">
        <v>33</v>
      </c>
      <c r="D30" s="5"/>
      <c r="E30" s="5"/>
      <c r="F30" s="5"/>
      <c r="I30" s="12" t="s">
        <v>69</v>
      </c>
    </row>
    <row r="31" spans="3:17" ht="10.050000000000001" customHeight="1" x14ac:dyDescent="0.3"/>
    <row r="32" spans="3:17" ht="19.95" customHeight="1" x14ac:dyDescent="0.3">
      <c r="C32" s="5" t="s">
        <v>23</v>
      </c>
      <c r="D32" s="5"/>
      <c r="E32" s="5"/>
      <c r="F32" s="5"/>
      <c r="I32" s="12" t="s">
        <v>115</v>
      </c>
    </row>
    <row r="33" spans="2:17" ht="10.050000000000001" customHeight="1" x14ac:dyDescent="0.3"/>
    <row r="34" spans="2:17" ht="19.95" customHeight="1" x14ac:dyDescent="0.3">
      <c r="B34" s="11">
        <f>B6+1</f>
        <v>3</v>
      </c>
      <c r="C34" s="12" t="s">
        <v>214</v>
      </c>
    </row>
    <row r="35" spans="2:17" ht="19.95" customHeight="1" x14ac:dyDescent="0.3">
      <c r="B35" s="11">
        <f>B34+1</f>
        <v>4</v>
      </c>
      <c r="C35" s="174" t="s">
        <v>213</v>
      </c>
      <c r="D35" s="174"/>
      <c r="E35" s="174"/>
      <c r="F35" s="174"/>
      <c r="G35" s="174"/>
      <c r="H35" s="174"/>
      <c r="I35" s="174"/>
      <c r="J35" s="174"/>
      <c r="K35" s="174"/>
      <c r="L35" s="174"/>
      <c r="M35" s="174"/>
      <c r="N35" s="174"/>
      <c r="O35" s="174"/>
      <c r="P35" s="174"/>
      <c r="Q35" s="174"/>
    </row>
    <row r="36" spans="2:17" ht="15" customHeight="1" x14ac:dyDescent="0.3">
      <c r="C36" s="174"/>
      <c r="D36" s="174"/>
      <c r="E36" s="174"/>
      <c r="F36" s="174"/>
      <c r="G36" s="174"/>
      <c r="H36" s="174"/>
      <c r="I36" s="174"/>
      <c r="J36" s="174"/>
      <c r="K36" s="174"/>
      <c r="L36" s="174"/>
      <c r="M36" s="174"/>
      <c r="N36" s="174"/>
      <c r="O36" s="174"/>
      <c r="P36" s="174"/>
      <c r="Q36" s="174"/>
    </row>
    <row r="37" spans="2:17" ht="19.95" customHeight="1" x14ac:dyDescent="0.3">
      <c r="B37" s="11">
        <v>5</v>
      </c>
      <c r="C37" s="175" t="s">
        <v>184</v>
      </c>
      <c r="D37" s="175"/>
      <c r="E37" s="175"/>
      <c r="F37" s="175"/>
      <c r="G37" s="175"/>
      <c r="H37" s="175"/>
      <c r="I37" s="175"/>
      <c r="J37" s="175"/>
      <c r="K37" s="175"/>
      <c r="L37" s="175"/>
      <c r="M37" s="175"/>
      <c r="N37" s="175"/>
      <c r="O37" s="175"/>
      <c r="P37" s="175"/>
      <c r="Q37" s="175"/>
    </row>
    <row r="38" spans="2:17" ht="19.95" customHeight="1" x14ac:dyDescent="0.3">
      <c r="C38" s="175"/>
      <c r="D38" s="175"/>
      <c r="E38" s="175"/>
      <c r="F38" s="175"/>
      <c r="G38" s="175"/>
      <c r="H38" s="175"/>
      <c r="I38" s="175"/>
      <c r="J38" s="175"/>
      <c r="K38" s="175"/>
      <c r="L38" s="175"/>
      <c r="M38" s="175"/>
      <c r="N38" s="175"/>
      <c r="O38" s="175"/>
      <c r="P38" s="175"/>
      <c r="Q38" s="175"/>
    </row>
    <row r="39" spans="2:17" ht="12" customHeight="1" x14ac:dyDescent="0.3">
      <c r="C39" s="175"/>
      <c r="D39" s="175"/>
      <c r="E39" s="175"/>
      <c r="F39" s="175"/>
      <c r="G39" s="175"/>
      <c r="H39" s="175"/>
      <c r="I39" s="175"/>
      <c r="J39" s="175"/>
      <c r="K39" s="175"/>
      <c r="L39" s="175"/>
      <c r="M39" s="175"/>
      <c r="N39" s="175"/>
      <c r="O39" s="175"/>
      <c r="P39" s="175"/>
      <c r="Q39" s="175"/>
    </row>
    <row r="40" spans="2:17" ht="19.95" customHeight="1" x14ac:dyDescent="0.3">
      <c r="B40" s="11">
        <v>6</v>
      </c>
      <c r="C40" s="12" t="s">
        <v>263</v>
      </c>
    </row>
    <row r="41" spans="2:17" ht="19.95" customHeight="1" x14ac:dyDescent="0.3"/>
    <row r="42" spans="2:17" ht="19.95" customHeight="1" x14ac:dyDescent="0.3"/>
    <row r="43" spans="2:17" ht="19.95" customHeight="1" x14ac:dyDescent="0.3"/>
    <row r="44" spans="2:17" ht="19.95" customHeight="1" x14ac:dyDescent="0.3"/>
    <row r="45" spans="2:17" ht="19.95" hidden="1" customHeight="1" x14ac:dyDescent="0.3"/>
    <row r="46" spans="2:17" ht="19.95" hidden="1" customHeight="1" x14ac:dyDescent="0.3"/>
    <row r="47" spans="2:17" ht="19.95" hidden="1" customHeight="1" x14ac:dyDescent="0.3"/>
    <row r="48" spans="2:17" ht="19.95" hidden="1" customHeight="1" x14ac:dyDescent="0.3"/>
    <row r="49" ht="19.95" hidden="1" customHeight="1" x14ac:dyDescent="0.3"/>
    <row r="50" ht="19.95" hidden="1" customHeight="1" x14ac:dyDescent="0.3"/>
    <row r="51" ht="19.95" hidden="1" customHeight="1" x14ac:dyDescent="0.3"/>
    <row r="52" ht="19.95" hidden="1" customHeight="1" x14ac:dyDescent="0.3"/>
    <row r="53" ht="19.95" hidden="1" customHeight="1" x14ac:dyDescent="0.3"/>
    <row r="54" ht="19.95" hidden="1" customHeight="1" x14ac:dyDescent="0.3"/>
    <row r="55" ht="19.95" hidden="1" customHeight="1" x14ac:dyDescent="0.3"/>
    <row r="56" ht="19.95" hidden="1" customHeight="1" x14ac:dyDescent="0.3"/>
    <row r="57" ht="19.95" hidden="1" customHeight="1" x14ac:dyDescent="0.3"/>
  </sheetData>
  <sheetProtection algorithmName="SHA-512" hashValue="HoWRW9iHUqGNItlPNuEDqS5SWzYi9Eg5QZYnYKoJc+KXbwyc4/tq6HLTKmBDh3LjKlXKQ0dOxfCExYWT2BiUnw==" saltValue="i9RHDd098pB6Gx9VtuNtBA==" spinCount="100000" sheet="1" objects="1" scenarios="1" selectLockedCells="1"/>
  <mergeCells count="8">
    <mergeCell ref="I25:Q26"/>
    <mergeCell ref="C35:Q36"/>
    <mergeCell ref="C37:Q39"/>
    <mergeCell ref="C4:Q5"/>
    <mergeCell ref="I9:Q10"/>
    <mergeCell ref="I12:Q15"/>
    <mergeCell ref="I17:Q18"/>
    <mergeCell ref="I20:Q23"/>
  </mergeCells>
  <conditionalFormatting sqref="C17">
    <cfRule type="expression" dxfId="353" priority="5">
      <formula>ISBLANK(C17)</formula>
    </cfRule>
  </conditionalFormatting>
  <conditionalFormatting sqref="C9:F9">
    <cfRule type="expression" dxfId="352" priority="7">
      <formula>ISBLANK(C9)</formula>
    </cfRule>
  </conditionalFormatting>
  <conditionalFormatting sqref="F12">
    <cfRule type="expression" dxfId="351" priority="6">
      <formula>ISBLANK(F12)</formula>
    </cfRule>
  </conditionalFormatting>
  <conditionalFormatting sqref="F17">
    <cfRule type="expression" dxfId="350" priority="4">
      <formula>ISBLANK(F17)</formula>
    </cfRule>
  </conditionalFormatting>
  <pageMargins left="0.2" right="0.2" top="0.5" bottom="0.25" header="0.3" footer="0.3"/>
  <pageSetup scale="9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EE884E09-D6FA-492E-A8D9-2C83493D94B3}">
          <x14:formula1>
            <xm:f>Tables!$H$2:$H$4</xm:f>
          </x14:formula1>
          <xm:sqref>C28:F28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5BCFA-678D-4F47-972D-31E458267710}">
  <sheetPr codeName="Sheet5">
    <tabColor theme="9" tint="0.39997558519241921"/>
  </sheetPr>
  <dimension ref="A1:CW256"/>
  <sheetViews>
    <sheetView showGridLines="0" showRowColHeaders="0" showZeros="0" zoomScale="150" zoomScaleNormal="150" workbookViewId="0">
      <selection activeCell="AD6" sqref="AD6:AJ6"/>
    </sheetView>
  </sheetViews>
  <sheetFormatPr defaultColWidth="0" defaultRowHeight="0" customHeight="1" zeroHeight="1" x14ac:dyDescent="0.3"/>
  <cols>
    <col min="1" max="1" width="1.77734375" style="26" customWidth="1"/>
    <col min="2" max="36" width="2.77734375" style="26" customWidth="1"/>
    <col min="37" max="37" width="1.77734375" style="26" customWidth="1"/>
    <col min="38" max="38" width="10.33203125" style="10" hidden="1" customWidth="1"/>
    <col min="39" max="39" width="7.21875" style="10" hidden="1" customWidth="1"/>
    <col min="40" max="40" width="18.88671875" style="10" hidden="1" customWidth="1"/>
    <col min="41" max="42" width="16.109375" style="10" hidden="1" customWidth="1"/>
    <col min="43" max="43" width="8.77734375" style="10" hidden="1" customWidth="1"/>
    <col min="44" max="44" width="20.77734375" style="10" hidden="1" customWidth="1"/>
    <col min="45" max="45" width="20" style="10" hidden="1" customWidth="1"/>
    <col min="46" max="46" width="8.77734375" style="10" hidden="1" customWidth="1"/>
    <col min="47" max="47" width="2.77734375" style="26" customWidth="1"/>
    <col min="48" max="48" width="3.77734375" style="26" customWidth="1"/>
    <col min="49" max="86" width="2.77734375" style="26" customWidth="1"/>
    <col min="87" max="89" width="2.77734375" style="26" hidden="1" customWidth="1"/>
    <col min="90" max="90" width="8.77734375" style="26" hidden="1" customWidth="1"/>
    <col min="91" max="101" width="0" style="26" hidden="1" customWidth="1"/>
    <col min="102" max="16384" width="8.88671875" style="26" hidden="1"/>
  </cols>
  <sheetData>
    <row r="1" spans="2:101" ht="15" customHeight="1" x14ac:dyDescent="0.3">
      <c r="O1" s="3"/>
      <c r="P1" s="3"/>
      <c r="Q1" s="3"/>
      <c r="S1" s="22"/>
      <c r="T1" s="215" t="s">
        <v>373</v>
      </c>
      <c r="U1" s="215"/>
      <c r="V1" s="215"/>
      <c r="W1" s="215"/>
      <c r="X1" s="215"/>
      <c r="Y1" s="215"/>
      <c r="Z1" s="215"/>
      <c r="AA1" s="215"/>
      <c r="AB1" s="215"/>
      <c r="AC1" s="215"/>
      <c r="AD1" s="215"/>
      <c r="AE1" s="215"/>
      <c r="AF1" s="215"/>
      <c r="AG1" s="215"/>
      <c r="AH1" s="215"/>
      <c r="AI1" s="215"/>
      <c r="AJ1" s="215"/>
      <c r="AK1" s="215"/>
      <c r="AL1" s="64"/>
      <c r="AM1" s="64"/>
      <c r="AN1" s="64"/>
      <c r="AO1" s="64"/>
      <c r="AP1" s="64"/>
      <c r="AQ1" s="64"/>
      <c r="AR1" s="64"/>
      <c r="AS1" s="64"/>
      <c r="AT1" s="64"/>
      <c r="AU1" s="22"/>
      <c r="BL1" s="22"/>
      <c r="BM1" s="215" t="str">
        <f>T1</f>
        <v>Form 2F.1 - Permeable Pavement
Design Form</v>
      </c>
      <c r="BN1" s="215"/>
      <c r="BO1" s="215"/>
      <c r="BP1" s="215"/>
      <c r="BQ1" s="215"/>
      <c r="BR1" s="215"/>
      <c r="BS1" s="215"/>
      <c r="BT1" s="215"/>
      <c r="BU1" s="215"/>
      <c r="BV1" s="215"/>
      <c r="BW1" s="215"/>
      <c r="BX1" s="215"/>
      <c r="BY1" s="215"/>
      <c r="BZ1" s="215"/>
      <c r="CA1" s="215"/>
      <c r="CB1" s="215"/>
      <c r="CC1" s="215"/>
      <c r="CD1" s="23"/>
      <c r="CE1" s="23"/>
      <c r="CF1" s="23"/>
      <c r="CG1" s="23"/>
      <c r="CR1" s="65"/>
      <c r="CS1" s="65"/>
      <c r="CT1" s="65"/>
      <c r="CU1" s="65"/>
      <c r="CV1" s="65"/>
      <c r="CW1" s="65"/>
    </row>
    <row r="2" spans="2:101" ht="15" customHeight="1" x14ac:dyDescent="0.3">
      <c r="J2" s="3"/>
      <c r="K2" s="3"/>
      <c r="L2" s="3"/>
      <c r="M2" s="3"/>
      <c r="N2" s="3"/>
      <c r="O2" s="3"/>
      <c r="P2" s="3"/>
      <c r="Q2" s="3"/>
      <c r="R2" s="22"/>
      <c r="S2" s="22"/>
      <c r="T2" s="215"/>
      <c r="U2" s="215"/>
      <c r="V2" s="215"/>
      <c r="W2" s="215"/>
      <c r="X2" s="215"/>
      <c r="Y2" s="215"/>
      <c r="Z2" s="215"/>
      <c r="AA2" s="215"/>
      <c r="AB2" s="215"/>
      <c r="AC2" s="215"/>
      <c r="AD2" s="215"/>
      <c r="AE2" s="215"/>
      <c r="AF2" s="215"/>
      <c r="AG2" s="215"/>
      <c r="AH2" s="215"/>
      <c r="AI2" s="215"/>
      <c r="AJ2" s="215"/>
      <c r="AK2" s="215"/>
      <c r="AL2" s="64"/>
      <c r="AM2" s="64"/>
      <c r="AN2" s="64"/>
      <c r="AO2" s="64"/>
      <c r="AP2" s="64"/>
      <c r="BK2" s="22"/>
      <c r="BL2" s="22"/>
      <c r="BM2" s="215"/>
      <c r="BN2" s="215"/>
      <c r="BO2" s="215"/>
      <c r="BP2" s="215"/>
      <c r="BQ2" s="215"/>
      <c r="BR2" s="215"/>
      <c r="BS2" s="215"/>
      <c r="BT2" s="215"/>
      <c r="BU2" s="215"/>
      <c r="BV2" s="215"/>
      <c r="BW2" s="215"/>
      <c r="BX2" s="215"/>
      <c r="BY2" s="215"/>
      <c r="BZ2" s="215"/>
      <c r="CA2" s="215"/>
      <c r="CB2" s="215"/>
      <c r="CC2" s="215"/>
      <c r="CD2" s="23"/>
      <c r="CE2" s="23"/>
      <c r="CF2" s="23"/>
      <c r="CG2" s="23"/>
      <c r="CL2" s="65"/>
      <c r="CR2" s="65"/>
      <c r="CS2" s="65"/>
      <c r="CT2" s="65"/>
      <c r="CU2" s="65"/>
      <c r="CV2" s="65"/>
      <c r="CW2" s="65"/>
    </row>
    <row r="3" spans="2:101" ht="15" customHeight="1" x14ac:dyDescent="0.3">
      <c r="J3" s="3"/>
      <c r="K3" s="3"/>
      <c r="L3" s="3"/>
      <c r="M3" s="3"/>
      <c r="N3" s="3"/>
      <c r="O3" s="3"/>
      <c r="P3" s="3"/>
      <c r="Q3" s="3"/>
      <c r="R3" s="22"/>
      <c r="S3" s="22"/>
      <c r="T3" s="215"/>
      <c r="U3" s="215"/>
      <c r="V3" s="215"/>
      <c r="W3" s="215"/>
      <c r="X3" s="215"/>
      <c r="Y3" s="215"/>
      <c r="Z3" s="215"/>
      <c r="AA3" s="215"/>
      <c r="AB3" s="215"/>
      <c r="AC3" s="215"/>
      <c r="AD3" s="215"/>
      <c r="AE3" s="215"/>
      <c r="AF3" s="215"/>
      <c r="AG3" s="215"/>
      <c r="AH3" s="215"/>
      <c r="AI3" s="215"/>
      <c r="AJ3" s="215"/>
      <c r="AK3" s="215"/>
      <c r="AL3" s="64"/>
      <c r="AM3" s="64"/>
      <c r="AN3" s="64"/>
      <c r="AO3" s="64"/>
      <c r="AP3" s="64"/>
      <c r="BK3" s="22"/>
      <c r="BL3" s="22"/>
      <c r="BM3" s="215"/>
      <c r="BN3" s="215"/>
      <c r="BO3" s="215"/>
      <c r="BP3" s="215"/>
      <c r="BQ3" s="215"/>
      <c r="BR3" s="215"/>
      <c r="BS3" s="215"/>
      <c r="BT3" s="215"/>
      <c r="BU3" s="215"/>
      <c r="BV3" s="215"/>
      <c r="BW3" s="215"/>
      <c r="BX3" s="215"/>
      <c r="BY3" s="215"/>
      <c r="BZ3" s="215"/>
      <c r="CA3" s="215"/>
      <c r="CB3" s="215"/>
      <c r="CC3" s="215"/>
      <c r="CD3" s="23"/>
      <c r="CE3" s="23"/>
      <c r="CF3" s="23"/>
      <c r="CG3" s="23"/>
      <c r="CL3" s="65"/>
      <c r="CR3" s="65"/>
      <c r="CS3" s="65"/>
      <c r="CT3" s="65"/>
      <c r="CU3" s="65"/>
      <c r="CV3" s="65"/>
      <c r="CW3" s="65"/>
    </row>
    <row r="4" spans="2:101" ht="15" customHeight="1" x14ac:dyDescent="0.3">
      <c r="J4" s="3"/>
      <c r="K4" s="3"/>
      <c r="L4" s="3"/>
      <c r="M4" s="3"/>
      <c r="N4" s="3"/>
      <c r="O4" s="3"/>
      <c r="P4" s="3"/>
      <c r="Q4" s="3"/>
      <c r="R4" s="22"/>
      <c r="S4" s="22"/>
      <c r="T4" s="215"/>
      <c r="U4" s="215"/>
      <c r="V4" s="215"/>
      <c r="W4" s="215"/>
      <c r="X4" s="215"/>
      <c r="Y4" s="215"/>
      <c r="Z4" s="215"/>
      <c r="AA4" s="215"/>
      <c r="AB4" s="215"/>
      <c r="AC4" s="215"/>
      <c r="AD4" s="215"/>
      <c r="AE4" s="215"/>
      <c r="AF4" s="215"/>
      <c r="AG4" s="215"/>
      <c r="AH4" s="215"/>
      <c r="AI4" s="215"/>
      <c r="AJ4" s="215"/>
      <c r="AK4" s="215"/>
      <c r="AL4" s="64"/>
      <c r="AM4" s="64"/>
      <c r="AN4" s="64"/>
      <c r="AO4" s="64"/>
      <c r="AP4" s="64"/>
      <c r="BK4" s="22"/>
      <c r="BL4" s="22"/>
      <c r="BM4" s="215"/>
      <c r="BN4" s="215"/>
      <c r="BO4" s="215"/>
      <c r="BP4" s="215"/>
      <c r="BQ4" s="215"/>
      <c r="BR4" s="215"/>
      <c r="BS4" s="215"/>
      <c r="BT4" s="215"/>
      <c r="BU4" s="215"/>
      <c r="BV4" s="215"/>
      <c r="BW4" s="215"/>
      <c r="BX4" s="215"/>
      <c r="BY4" s="215"/>
      <c r="BZ4" s="215"/>
      <c r="CA4" s="215"/>
      <c r="CB4" s="215"/>
      <c r="CC4" s="215"/>
      <c r="CD4" s="23"/>
      <c r="CE4" s="23"/>
      <c r="CF4" s="23"/>
      <c r="CG4" s="23"/>
      <c r="CL4" s="65"/>
      <c r="CR4" s="65"/>
      <c r="CS4" s="65"/>
      <c r="CT4" s="65"/>
      <c r="CU4" s="65"/>
      <c r="CV4" s="65"/>
      <c r="CW4" s="65"/>
    </row>
    <row r="5" spans="2:101" ht="4.95" customHeight="1" x14ac:dyDescent="0.3">
      <c r="J5" s="3"/>
      <c r="K5" s="3"/>
      <c r="L5" s="3"/>
      <c r="M5" s="3"/>
      <c r="N5" s="3"/>
      <c r="O5" s="3"/>
      <c r="P5" s="3"/>
      <c r="Q5" s="3"/>
      <c r="R5" s="23"/>
      <c r="S5" s="23"/>
      <c r="T5" s="23"/>
      <c r="U5" s="23"/>
      <c r="V5" s="23"/>
      <c r="W5" s="23"/>
      <c r="X5" s="23"/>
      <c r="Y5" s="23"/>
      <c r="Z5" s="23"/>
      <c r="AA5" s="23"/>
      <c r="AB5" s="23"/>
      <c r="AC5" s="23"/>
      <c r="AD5" s="23"/>
      <c r="AE5" s="23"/>
      <c r="AF5" s="23"/>
      <c r="AG5" s="23"/>
      <c r="AH5" s="23"/>
      <c r="AI5" s="23"/>
      <c r="AJ5" s="23"/>
      <c r="AL5" s="64"/>
      <c r="AM5" s="64"/>
      <c r="AN5" s="64"/>
      <c r="AO5" s="64"/>
      <c r="AP5" s="64"/>
    </row>
    <row r="6" spans="2:101" ht="13.95" customHeight="1" x14ac:dyDescent="0.3">
      <c r="B6" s="1" t="s">
        <v>0</v>
      </c>
      <c r="C6" s="1"/>
      <c r="D6" s="1"/>
      <c r="E6" s="1"/>
      <c r="F6" s="1"/>
      <c r="G6" s="1"/>
      <c r="H6" s="1"/>
      <c r="I6" s="1"/>
      <c r="AC6" s="2" t="s">
        <v>430</v>
      </c>
      <c r="AD6" s="185"/>
      <c r="AE6" s="185"/>
      <c r="AF6" s="185"/>
      <c r="AG6" s="185"/>
      <c r="AH6" s="185"/>
      <c r="AI6" s="185"/>
      <c r="AJ6" s="185"/>
      <c r="AV6" s="226" t="s">
        <v>68</v>
      </c>
      <c r="AW6" s="226"/>
      <c r="AX6" s="226"/>
      <c r="AY6" s="226"/>
      <c r="AZ6" s="226"/>
      <c r="BA6" s="226"/>
      <c r="BB6" s="226"/>
      <c r="BC6" s="226"/>
      <c r="BD6" s="226"/>
      <c r="BE6" s="226"/>
      <c r="BF6" s="226"/>
      <c r="BG6" s="226"/>
      <c r="BH6" s="226"/>
      <c r="BI6" s="226"/>
      <c r="BJ6" s="83"/>
      <c r="BK6" s="83"/>
      <c r="BL6" s="60"/>
      <c r="BM6" s="60"/>
      <c r="BN6" s="60"/>
      <c r="BO6" s="60"/>
      <c r="BP6" s="60"/>
      <c r="BQ6" s="60"/>
      <c r="BR6" s="60"/>
      <c r="BS6" s="60"/>
      <c r="BT6" s="60"/>
      <c r="BU6" s="60"/>
      <c r="BV6" s="60"/>
      <c r="BW6" s="60"/>
      <c r="BX6" s="60"/>
      <c r="BY6" s="60"/>
      <c r="BZ6" s="60"/>
      <c r="CA6" s="60"/>
      <c r="CB6" s="60"/>
      <c r="CC6" s="60"/>
      <c r="CD6" s="60"/>
      <c r="CE6" s="60"/>
      <c r="CF6" s="60"/>
      <c r="CG6" s="60"/>
      <c r="CH6" s="60"/>
      <c r="CI6" s="60"/>
    </row>
    <row r="7" spans="2:101" ht="13.95" customHeight="1" x14ac:dyDescent="0.3">
      <c r="D7" s="2" t="s">
        <v>132</v>
      </c>
      <c r="E7" s="179"/>
      <c r="F7" s="179"/>
      <c r="G7" s="179"/>
      <c r="H7" s="179"/>
      <c r="I7" s="179"/>
      <c r="J7" s="179"/>
      <c r="K7" s="179"/>
      <c r="L7" s="179"/>
      <c r="M7" s="179"/>
      <c r="N7" s="179"/>
      <c r="O7" s="179"/>
      <c r="P7" s="179"/>
      <c r="Q7" s="179"/>
      <c r="R7" s="179"/>
      <c r="S7" s="179"/>
      <c r="T7" s="179"/>
      <c r="U7" s="179"/>
      <c r="V7" s="179"/>
      <c r="W7" s="179"/>
      <c r="X7" s="179"/>
      <c r="AD7" s="2" t="s">
        <v>21</v>
      </c>
      <c r="AE7" s="218"/>
      <c r="AF7" s="218"/>
      <c r="AG7" s="218"/>
      <c r="AH7" s="218"/>
      <c r="AI7" s="218"/>
      <c r="AJ7" s="218"/>
      <c r="AV7" s="226"/>
      <c r="AW7" s="226"/>
      <c r="AX7" s="226"/>
      <c r="AY7" s="226"/>
      <c r="AZ7" s="226"/>
      <c r="BA7" s="226"/>
      <c r="BB7" s="226"/>
      <c r="BC7" s="226"/>
      <c r="BD7" s="226"/>
      <c r="BE7" s="226"/>
      <c r="BF7" s="226"/>
      <c r="BG7" s="226"/>
      <c r="BH7" s="226"/>
      <c r="BI7" s="226"/>
      <c r="BJ7" s="83"/>
      <c r="BK7" s="83"/>
      <c r="BZ7" s="60"/>
      <c r="CA7" s="60"/>
      <c r="CB7" s="60"/>
      <c r="CC7" s="60"/>
      <c r="CD7" s="60"/>
      <c r="CE7" s="60"/>
      <c r="CF7" s="60"/>
      <c r="CG7" s="60"/>
      <c r="CH7" s="60"/>
      <c r="CI7" s="60"/>
    </row>
    <row r="8" spans="2:101" ht="13.95" customHeight="1" x14ac:dyDescent="0.3">
      <c r="D8" s="2" t="s">
        <v>133</v>
      </c>
      <c r="E8" s="212"/>
      <c r="F8" s="212"/>
      <c r="G8" s="212"/>
      <c r="H8" s="212"/>
      <c r="I8" s="212"/>
      <c r="J8" s="212"/>
      <c r="K8" s="212"/>
      <c r="L8" s="212"/>
      <c r="M8" s="212"/>
      <c r="N8" s="212"/>
      <c r="O8" s="212"/>
      <c r="P8" s="212"/>
      <c r="Q8" s="212"/>
      <c r="R8" s="212"/>
      <c r="S8" s="212"/>
      <c r="T8" s="212"/>
      <c r="U8" s="212"/>
      <c r="V8" s="212"/>
      <c r="W8" s="212"/>
      <c r="X8" s="212"/>
      <c r="AD8" s="2" t="s">
        <v>34</v>
      </c>
      <c r="AE8" s="219"/>
      <c r="AF8" s="219"/>
      <c r="AG8" s="219"/>
      <c r="AH8" s="219"/>
      <c r="AI8" s="219"/>
      <c r="AJ8" s="219"/>
      <c r="AV8" s="85" t="s">
        <v>117</v>
      </c>
      <c r="BJ8" s="83"/>
      <c r="BK8" s="83"/>
      <c r="BZ8" s="60"/>
      <c r="CA8" s="60"/>
      <c r="CB8" s="60"/>
      <c r="CC8" s="60"/>
      <c r="CD8" s="60"/>
      <c r="CE8" s="60"/>
      <c r="CF8" s="60"/>
      <c r="CG8" s="60"/>
      <c r="CH8" s="60"/>
      <c r="CI8" s="60"/>
    </row>
    <row r="9" spans="2:101" ht="15" customHeight="1" x14ac:dyDescent="0.3">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66"/>
      <c r="AM9" s="66"/>
      <c r="AN9" s="66"/>
      <c r="AO9" s="66"/>
      <c r="AP9" s="66"/>
      <c r="AV9" s="86">
        <v>1</v>
      </c>
      <c r="AW9" s="85" t="s">
        <v>579</v>
      </c>
      <c r="AZ9" s="83"/>
      <c r="BA9" s="83"/>
      <c r="BB9" s="83"/>
      <c r="BC9" s="83"/>
      <c r="BD9" s="83"/>
      <c r="BE9" s="83"/>
      <c r="BF9" s="83"/>
      <c r="BG9" s="83"/>
      <c r="BH9" s="83"/>
      <c r="BI9" s="83"/>
      <c r="BJ9" s="83"/>
      <c r="BK9" s="83"/>
      <c r="BL9" s="60"/>
      <c r="BM9" s="60"/>
      <c r="BN9" s="60"/>
      <c r="BO9" s="60"/>
      <c r="BP9" s="60"/>
      <c r="BQ9" s="60"/>
      <c r="BR9" s="60"/>
      <c r="BS9" s="60"/>
      <c r="BT9" s="60"/>
      <c r="BU9" s="60"/>
      <c r="BV9" s="60"/>
      <c r="BW9" s="60"/>
      <c r="BX9" s="60"/>
      <c r="BY9" s="60"/>
      <c r="BZ9" s="60"/>
      <c r="CA9" s="60"/>
      <c r="CB9" s="60"/>
      <c r="CC9" s="60"/>
      <c r="CD9" s="60"/>
      <c r="CE9" s="60"/>
      <c r="CF9" s="60"/>
      <c r="CG9" s="60"/>
      <c r="CH9" s="60"/>
      <c r="CI9" s="60"/>
    </row>
    <row r="10" spans="2:101" ht="13.95" customHeight="1" x14ac:dyDescent="0.3">
      <c r="E10" s="2" t="s">
        <v>176</v>
      </c>
      <c r="F10" s="55"/>
      <c r="G10" s="26" t="s">
        <v>127</v>
      </c>
      <c r="M10" s="55"/>
      <c r="N10" s="26" t="s">
        <v>128</v>
      </c>
      <c r="T10" s="55"/>
      <c r="U10" s="26" t="s">
        <v>129</v>
      </c>
      <c r="AC10" s="55"/>
      <c r="AD10" s="26" t="str">
        <f>" "&amp;Tables!F37</f>
        <v xml:space="preserve"> Drainage Rights</v>
      </c>
      <c r="AV10" s="86">
        <f>AV9+1</f>
        <v>2</v>
      </c>
      <c r="AW10" s="85" t="s">
        <v>581</v>
      </c>
      <c r="AX10" s="83"/>
      <c r="AY10" s="83"/>
      <c r="AZ10" s="83"/>
      <c r="BA10" s="83"/>
      <c r="BB10" s="83"/>
      <c r="BC10" s="83"/>
      <c r="BD10" s="83"/>
      <c r="BE10" s="83"/>
      <c r="BF10" s="83"/>
      <c r="BG10" s="83"/>
      <c r="BH10" s="83"/>
      <c r="BI10" s="83"/>
      <c r="BJ10" s="83"/>
      <c r="BK10" s="83"/>
      <c r="BL10" s="60"/>
      <c r="BM10" s="60"/>
      <c r="BN10" s="60"/>
      <c r="BO10" s="60"/>
      <c r="BP10" s="60"/>
      <c r="BQ10" s="60"/>
      <c r="BR10" s="60"/>
      <c r="BS10" s="60"/>
      <c r="BT10" s="60"/>
      <c r="BU10" s="60"/>
      <c r="BV10" s="60"/>
      <c r="BW10" s="60"/>
      <c r="BX10" s="60"/>
      <c r="BY10" s="60"/>
      <c r="BZ10" s="60"/>
      <c r="CA10" s="60"/>
      <c r="CB10" s="60"/>
      <c r="CC10" s="60"/>
      <c r="CD10" s="60"/>
      <c r="CE10" s="60"/>
      <c r="CF10" s="60"/>
      <c r="CG10" s="60"/>
      <c r="CH10" s="60"/>
      <c r="CI10" s="60"/>
    </row>
    <row r="11" spans="2:101" ht="4.95" customHeight="1" x14ac:dyDescent="0.3">
      <c r="C11" s="2"/>
      <c r="D11" s="2"/>
      <c r="E11" s="2"/>
      <c r="F11" s="2"/>
      <c r="G11" s="2"/>
      <c r="H11" s="2"/>
      <c r="I11" s="2"/>
      <c r="AV11" s="86"/>
      <c r="AX11" s="83"/>
      <c r="AY11" s="83"/>
      <c r="AZ11" s="83"/>
      <c r="BA11" s="83"/>
      <c r="BB11" s="83"/>
      <c r="BC11" s="83"/>
      <c r="BD11" s="83"/>
      <c r="BE11" s="83"/>
      <c r="BF11" s="83"/>
      <c r="BG11" s="83"/>
      <c r="BH11" s="83"/>
      <c r="BI11" s="83"/>
      <c r="BJ11" s="83"/>
      <c r="BK11" s="83"/>
      <c r="BL11" s="60"/>
      <c r="BM11" s="60"/>
      <c r="BN11" s="60"/>
      <c r="BO11" s="60"/>
      <c r="BP11" s="60"/>
      <c r="BQ11" s="60"/>
      <c r="BR11" s="60"/>
      <c r="BS11" s="60"/>
      <c r="BT11" s="60"/>
      <c r="BU11" s="60"/>
      <c r="BV11" s="60"/>
      <c r="BW11" s="60"/>
      <c r="BX11" s="60"/>
      <c r="BY11" s="60"/>
      <c r="BZ11" s="60"/>
      <c r="CA11" s="60"/>
      <c r="CB11" s="60"/>
      <c r="CC11" s="60"/>
      <c r="CD11" s="60"/>
      <c r="CE11" s="60"/>
      <c r="CF11" s="60"/>
      <c r="CG11" s="60"/>
      <c r="CH11" s="60"/>
      <c r="CI11" s="60"/>
    </row>
    <row r="12" spans="2:101" ht="13.95" customHeight="1" x14ac:dyDescent="0.3">
      <c r="C12" s="2"/>
      <c r="D12" s="2"/>
      <c r="E12" s="2"/>
      <c r="F12" s="55"/>
      <c r="G12" s="26" t="s">
        <v>186</v>
      </c>
      <c r="M12" s="55"/>
      <c r="N12" s="26" t="s">
        <v>187</v>
      </c>
      <c r="AV12" s="86"/>
      <c r="AW12" s="26" t="s">
        <v>580</v>
      </c>
      <c r="AY12" s="83"/>
      <c r="AZ12" s="83"/>
      <c r="BA12" s="83"/>
      <c r="BB12" s="83"/>
      <c r="BC12" s="83"/>
      <c r="BD12" s="83"/>
      <c r="BE12" s="83"/>
      <c r="BF12" s="83"/>
      <c r="BG12" s="83"/>
      <c r="BH12" s="83"/>
      <c r="BI12" s="83"/>
      <c r="BJ12" s="83"/>
      <c r="BK12" s="83"/>
      <c r="BL12" s="60"/>
      <c r="BM12" s="60"/>
      <c r="BN12" s="60"/>
      <c r="BO12" s="60"/>
      <c r="BP12" s="60"/>
      <c r="BQ12" s="60"/>
      <c r="BR12" s="60"/>
      <c r="BS12" s="60"/>
      <c r="BT12" s="60"/>
      <c r="BU12" s="60"/>
      <c r="BV12" s="60"/>
      <c r="BW12" s="60"/>
      <c r="BX12" s="60"/>
      <c r="BY12" s="60"/>
      <c r="BZ12" s="60"/>
      <c r="CA12" s="60"/>
      <c r="CB12" s="60"/>
      <c r="CC12" s="60"/>
      <c r="CD12" s="60"/>
      <c r="CE12" s="60"/>
      <c r="CF12" s="60"/>
      <c r="CG12" s="60"/>
      <c r="CH12" s="60"/>
      <c r="CI12" s="60"/>
    </row>
    <row r="13" spans="2:101" ht="15" customHeight="1" x14ac:dyDescent="0.3">
      <c r="C13" s="2"/>
      <c r="D13" s="2"/>
      <c r="E13" s="2"/>
      <c r="F13" s="2"/>
      <c r="G13" s="2"/>
      <c r="H13" s="2"/>
      <c r="I13" s="2"/>
      <c r="AV13" s="86">
        <f>AV10+1</f>
        <v>3</v>
      </c>
      <c r="AW13" s="85" t="s">
        <v>265</v>
      </c>
      <c r="AY13" s="83"/>
      <c r="AZ13" s="83"/>
      <c r="BA13" s="83"/>
      <c r="BB13" s="83"/>
      <c r="BC13" s="83"/>
      <c r="BD13" s="83"/>
      <c r="BE13" s="83"/>
      <c r="BF13" s="83"/>
      <c r="BG13" s="83"/>
      <c r="BH13" s="83"/>
      <c r="BI13" s="83"/>
      <c r="BJ13" s="83"/>
      <c r="BK13" s="83"/>
      <c r="BL13" s="60"/>
      <c r="BM13" s="60"/>
      <c r="BN13" s="60"/>
      <c r="BO13" s="60"/>
      <c r="BP13" s="60"/>
      <c r="BQ13" s="60"/>
      <c r="BR13" s="60"/>
      <c r="BS13" s="60"/>
      <c r="BT13" s="60"/>
      <c r="BU13" s="60"/>
      <c r="BV13" s="60"/>
      <c r="BW13" s="60"/>
      <c r="BX13" s="60"/>
      <c r="BY13" s="60"/>
      <c r="BZ13" s="60"/>
      <c r="CA13" s="60"/>
      <c r="CB13" s="60"/>
      <c r="CC13" s="60"/>
      <c r="CD13" s="60"/>
      <c r="CE13" s="60"/>
      <c r="CF13" s="60"/>
      <c r="CG13" s="60"/>
      <c r="CH13" s="60"/>
      <c r="CI13" s="60"/>
    </row>
    <row r="14" spans="2:101" ht="13.95" customHeight="1" x14ac:dyDescent="0.3">
      <c r="D14" s="2"/>
      <c r="F14" s="2" t="s">
        <v>364</v>
      </c>
      <c r="G14" s="55"/>
      <c r="H14" s="9" t="s">
        <v>314</v>
      </c>
      <c r="J14" s="19"/>
      <c r="K14" s="9" t="s">
        <v>315</v>
      </c>
      <c r="Z14" s="2" t="s">
        <v>365</v>
      </c>
      <c r="AA14" s="180"/>
      <c r="AB14" s="180"/>
      <c r="AC14" s="180"/>
      <c r="AD14" s="180"/>
      <c r="AE14" s="181" t="str">
        <f>IF($AM$16=0,"Units?",IF($AM$16=1,"ac",IF($AM$16=2,"sq-ft","Error")))</f>
        <v>Units?</v>
      </c>
      <c r="AF14" s="181"/>
      <c r="AL14" s="89">
        <f>IF(AND(ISBLANK(G14),ISBLANK(J14)),1,2)</f>
        <v>1</v>
      </c>
      <c r="AM14" s="89">
        <f>IF(ISBLANK(G14),0,1)</f>
        <v>0</v>
      </c>
      <c r="AO14" s="66" t="s">
        <v>366</v>
      </c>
      <c r="AP14" s="124">
        <f>IF($AM$16=2,AA15/43560,AA15)</f>
        <v>0</v>
      </c>
      <c r="AQ14" s="10" t="s">
        <v>367</v>
      </c>
      <c r="AW14" s="26" t="str">
        <f>"Hydrology for Small Watersheds Technical Release 55 (TR-55) or equivalent as approved by the "&amp;Tables!$F$23&amp;" Engineer"</f>
        <v>Hydrology for Small Watersheds Technical Release 55 (TR-55) or equivalent as approved by the County Engineer</v>
      </c>
      <c r="AY14" s="83"/>
      <c r="AZ14" s="83"/>
      <c r="BA14" s="83"/>
      <c r="BB14" s="83"/>
      <c r="BC14" s="83"/>
      <c r="BD14" s="83"/>
      <c r="BE14" s="83"/>
      <c r="BF14" s="83"/>
      <c r="BG14" s="83"/>
      <c r="BH14" s="83"/>
      <c r="BI14" s="83"/>
      <c r="BJ14" s="83"/>
      <c r="BK14" s="83"/>
      <c r="BL14" s="60"/>
      <c r="BM14" s="60"/>
      <c r="BN14" s="60"/>
      <c r="BO14" s="60"/>
      <c r="BP14" s="60"/>
      <c r="BQ14" s="60"/>
      <c r="BR14" s="60"/>
      <c r="BS14" s="60"/>
      <c r="BT14" s="60"/>
      <c r="BU14" s="60"/>
      <c r="BV14" s="60"/>
      <c r="BW14" s="60"/>
      <c r="BX14" s="60"/>
      <c r="BY14" s="60"/>
      <c r="BZ14" s="60"/>
      <c r="CA14" s="60"/>
      <c r="CB14" s="60"/>
      <c r="CC14" s="60"/>
      <c r="CD14" s="60"/>
      <c r="CE14" s="60"/>
      <c r="CF14" s="60"/>
      <c r="CG14" s="60"/>
      <c r="CH14" s="60"/>
      <c r="CI14" s="60"/>
    </row>
    <row r="15" spans="2:101" ht="13.95" customHeight="1" x14ac:dyDescent="0.3">
      <c r="B15" s="26" t="s">
        <v>2</v>
      </c>
      <c r="Z15" s="2" t="s">
        <v>368</v>
      </c>
      <c r="AA15" s="220"/>
      <c r="AB15" s="220"/>
      <c r="AC15" s="220"/>
      <c r="AD15" s="220"/>
      <c r="AE15" s="181" t="str">
        <f>IF($AM$16=0,"Units?",IF($AM$16=1,"ac",IF($AM$16=2,"sq-ft","Error")))</f>
        <v>Units?</v>
      </c>
      <c r="AF15" s="181"/>
      <c r="AM15" s="89">
        <f>IF(ISBLANK(J14),0,2)</f>
        <v>0</v>
      </c>
      <c r="AN15" s="66"/>
      <c r="AO15" s="66" t="s">
        <v>369</v>
      </c>
      <c r="AP15" s="124">
        <f>IF($AM$16=2,J21/43560,J21)</f>
        <v>0</v>
      </c>
      <c r="AQ15" s="10" t="s">
        <v>367</v>
      </c>
      <c r="AV15" s="86">
        <f>AV13+1</f>
        <v>4</v>
      </c>
      <c r="AW15" s="85" t="s">
        <v>396</v>
      </c>
      <c r="AX15" s="83"/>
      <c r="AY15" s="83"/>
      <c r="AZ15" s="83"/>
      <c r="BA15" s="83"/>
      <c r="BB15" s="83"/>
      <c r="BC15" s="83"/>
      <c r="BD15" s="83"/>
      <c r="BE15" s="83"/>
      <c r="BF15" s="83"/>
      <c r="BG15" s="83"/>
      <c r="BH15" s="83"/>
      <c r="BI15" s="83"/>
      <c r="BJ15" s="83"/>
      <c r="BK15" s="83"/>
      <c r="BL15" s="60"/>
      <c r="BM15" s="60"/>
      <c r="BN15" s="60"/>
      <c r="BO15" s="60"/>
      <c r="BP15" s="60"/>
      <c r="BQ15" s="60"/>
      <c r="BR15" s="60"/>
      <c r="BS15" s="60"/>
      <c r="BT15" s="60"/>
      <c r="BU15" s="60"/>
      <c r="BV15" s="60"/>
      <c r="BW15" s="60"/>
      <c r="BX15" s="60"/>
      <c r="BY15" s="60"/>
      <c r="BZ15" s="60"/>
      <c r="CA15" s="60"/>
      <c r="CB15" s="60"/>
      <c r="CC15" s="60"/>
      <c r="CD15" s="60"/>
      <c r="CE15" s="60"/>
      <c r="CF15" s="60"/>
      <c r="CG15" s="60"/>
      <c r="CH15" s="60"/>
      <c r="CI15" s="60"/>
    </row>
    <row r="16" spans="2:101" ht="13.95" customHeight="1" x14ac:dyDescent="0.3">
      <c r="D16" s="2"/>
      <c r="E16" s="2"/>
      <c r="F16" s="2"/>
      <c r="G16" s="2"/>
      <c r="I16" s="2" t="s">
        <v>177</v>
      </c>
      <c r="J16" s="180"/>
      <c r="K16" s="180"/>
      <c r="L16" s="180"/>
      <c r="M16" s="180"/>
      <c r="N16" s="181" t="str">
        <f t="shared" ref="N16:N21" si="0">IF($AM$16=0,"Units?",IF($AM$16=1,"ac",IF($AM$16=2,"sq-ft","Error")))</f>
        <v>Units?</v>
      </c>
      <c r="O16" s="181"/>
      <c r="S16" s="26" t="s">
        <v>54</v>
      </c>
      <c r="AM16" s="89">
        <f>SUM(AM14:AM15)</f>
        <v>0</v>
      </c>
      <c r="AN16" s="10" t="s">
        <v>370</v>
      </c>
      <c r="AO16" s="66" t="s">
        <v>371</v>
      </c>
      <c r="AP16" s="124">
        <f>AP15-AP14</f>
        <v>0</v>
      </c>
      <c r="AQ16" s="10" t="s">
        <v>367</v>
      </c>
      <c r="AW16" s="85" t="str">
        <f>"pre-development hydrology for the "&amp;Tables!F28&amp;"-year, 24-your rainfall depths"</f>
        <v>pre-development hydrology for the 2, 5, 10, 25, 50, and 100-year, 24-your rainfall depths</v>
      </c>
      <c r="AX16" s="83"/>
      <c r="AY16" s="83"/>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row>
    <row r="17" spans="2:87" ht="13.95" customHeight="1" x14ac:dyDescent="0.3">
      <c r="D17" s="2"/>
      <c r="E17" s="2"/>
      <c r="F17" s="2"/>
      <c r="G17" s="2"/>
      <c r="I17" s="2" t="s">
        <v>178</v>
      </c>
      <c r="J17" s="182"/>
      <c r="K17" s="182"/>
      <c r="L17" s="182"/>
      <c r="M17" s="182"/>
      <c r="N17" s="181" t="str">
        <f t="shared" si="0"/>
        <v>Units?</v>
      </c>
      <c r="O17" s="181"/>
      <c r="V17" s="2" t="s">
        <v>55</v>
      </c>
      <c r="W17" s="214">
        <f>IF(AL17=1,"0.00",IFERROR(IF($J$21-$AA$15&lt;0,0,$J$21-$AA$15),""))</f>
        <v>0</v>
      </c>
      <c r="X17" s="214"/>
      <c r="Y17" s="214"/>
      <c r="Z17" s="214"/>
      <c r="AA17" s="181" t="str">
        <f>IF($AM$16=0,"Units?",IF($AM$16=1,"ac",IF($AM$16=2,"sq-ft","Error")))</f>
        <v>Units?</v>
      </c>
      <c r="AB17" s="181"/>
      <c r="AD17" s="2" t="s">
        <v>55</v>
      </c>
      <c r="AE17" s="188">
        <f>AP16</f>
        <v>0</v>
      </c>
      <c r="AF17" s="188"/>
      <c r="AG17" s="188"/>
      <c r="AH17" s="188"/>
      <c r="AI17" s="181" t="s">
        <v>367</v>
      </c>
      <c r="AJ17" s="181"/>
      <c r="AL17" s="89">
        <f>IF(AND(J21=0,ISBLANK(AA15)),0,IF(OR(J21-AA15=0,J21-AA15&lt;0),1,2))</f>
        <v>0</v>
      </c>
      <c r="AM17" s="10" t="s">
        <v>372</v>
      </c>
      <c r="AV17" s="21">
        <f>AV15+1</f>
        <v>5</v>
      </c>
      <c r="AW17" s="26" t="s">
        <v>470</v>
      </c>
      <c r="AX17" s="83"/>
      <c r="AY17" s="83"/>
      <c r="BL17" s="25"/>
      <c r="BM17" s="25"/>
      <c r="BN17" s="25"/>
      <c r="BO17" s="25"/>
      <c r="BP17" s="25"/>
      <c r="BQ17" s="25"/>
      <c r="BR17" s="25"/>
      <c r="BS17" s="25"/>
      <c r="BT17" s="25"/>
      <c r="BU17" s="25"/>
      <c r="BV17" s="25"/>
      <c r="BW17" s="25"/>
      <c r="BX17" s="25"/>
      <c r="BY17" s="25"/>
      <c r="BZ17" s="25"/>
      <c r="CA17" s="25"/>
      <c r="CB17" s="25"/>
      <c r="CC17" s="25"/>
      <c r="CD17" s="25"/>
      <c r="CE17" s="25"/>
      <c r="CF17" s="25"/>
      <c r="CG17" s="25"/>
      <c r="CH17" s="25"/>
      <c r="CI17" s="25"/>
    </row>
    <row r="18" spans="2:87" ht="13.95" customHeight="1" x14ac:dyDescent="0.3">
      <c r="D18" s="2"/>
      <c r="E18" s="2"/>
      <c r="F18" s="2"/>
      <c r="G18" s="2"/>
      <c r="I18" s="2" t="s">
        <v>179</v>
      </c>
      <c r="J18" s="182"/>
      <c r="K18" s="182"/>
      <c r="L18" s="182"/>
      <c r="M18" s="182"/>
      <c r="N18" s="181" t="str">
        <f t="shared" si="0"/>
        <v>Units?</v>
      </c>
      <c r="O18" s="181"/>
      <c r="S18" s="26" t="s">
        <v>36</v>
      </c>
      <c r="AW18" s="4" t="s">
        <v>94</v>
      </c>
      <c r="AX18" s="26" t="str">
        <f>"Obtain "&amp;Tables!F37&amp;" for the adjacent property"</f>
        <v>Obtain Drainage Rights for the adjacent property</v>
      </c>
      <c r="BL18" s="25"/>
      <c r="BM18" s="25"/>
      <c r="BN18" s="25"/>
      <c r="BO18" s="25"/>
      <c r="BP18" s="25"/>
      <c r="BQ18" s="25"/>
      <c r="BR18" s="25"/>
      <c r="BS18" s="25"/>
      <c r="BT18" s="25"/>
      <c r="BU18" s="25"/>
      <c r="BV18" s="25"/>
      <c r="BW18" s="25"/>
      <c r="BX18" s="25"/>
      <c r="BY18" s="25"/>
      <c r="BZ18" s="25"/>
      <c r="CA18" s="25"/>
      <c r="CB18" s="25"/>
      <c r="CC18" s="25"/>
      <c r="CD18" s="25"/>
      <c r="CE18" s="25"/>
      <c r="CF18" s="25"/>
      <c r="CG18" s="25"/>
      <c r="CH18" s="25"/>
      <c r="CI18" s="25"/>
    </row>
    <row r="19" spans="2:87" ht="13.95" customHeight="1" x14ac:dyDescent="0.3">
      <c r="D19" s="2"/>
      <c r="E19" s="2"/>
      <c r="F19" s="2"/>
      <c r="G19" s="2"/>
      <c r="I19" s="2" t="s">
        <v>180</v>
      </c>
      <c r="J19" s="182"/>
      <c r="K19" s="182"/>
      <c r="L19" s="182"/>
      <c r="M19" s="182"/>
      <c r="N19" s="181" t="str">
        <f t="shared" si="0"/>
        <v>Units?</v>
      </c>
      <c r="O19" s="181"/>
      <c r="V19" s="2" t="s">
        <v>38</v>
      </c>
      <c r="W19" s="26" t="str">
        <f>"AIA acres X "&amp;Tables!G15&amp; " in X 3,630"</f>
        <v>AIA acres X 1.00 in X 3,630</v>
      </c>
      <c r="AW19" s="4" t="s">
        <v>95</v>
      </c>
      <c r="AX19" s="26" t="str">
        <f>"If "&amp;Tables!F37&amp;" cannot be obtained, size the detention pond to attenuate the"</f>
        <v>If Drainage Rights cannot be obtained, size the detention pond to attenuate the</v>
      </c>
      <c r="BL19" s="25"/>
      <c r="BM19" s="25"/>
      <c r="BN19" s="25"/>
      <c r="BO19" s="25"/>
      <c r="BP19" s="25"/>
      <c r="BQ19" s="25"/>
      <c r="BR19" s="25"/>
      <c r="BS19" s="25"/>
      <c r="BT19" s="25"/>
      <c r="BU19" s="25"/>
      <c r="BV19" s="25"/>
      <c r="BW19" s="25"/>
      <c r="BX19" s="25"/>
      <c r="BY19" s="25"/>
      <c r="BZ19" s="25"/>
      <c r="CA19" s="25"/>
      <c r="CB19" s="25"/>
      <c r="CC19" s="25"/>
      <c r="CD19" s="25"/>
      <c r="CE19" s="25"/>
      <c r="CF19" s="25"/>
      <c r="CG19" s="25"/>
      <c r="CH19" s="25"/>
      <c r="CI19" s="25"/>
    </row>
    <row r="20" spans="2:87" ht="13.95" customHeight="1" thickBot="1" x14ac:dyDescent="0.35">
      <c r="D20" s="2"/>
      <c r="E20" s="2"/>
      <c r="F20" s="2"/>
      <c r="G20" s="2"/>
      <c r="I20" s="2" t="s">
        <v>181</v>
      </c>
      <c r="J20" s="211"/>
      <c r="K20" s="211"/>
      <c r="L20" s="211"/>
      <c r="M20" s="211"/>
      <c r="N20" s="181" t="str">
        <f t="shared" si="0"/>
        <v>Units?</v>
      </c>
      <c r="O20" s="181"/>
      <c r="V20" s="2" t="s">
        <v>38</v>
      </c>
      <c r="W20" s="188">
        <f>IF(AL17=1,"0.00",IFERROR(IF($J$21-$AA$15&lt;0,0,$AP$16),""))</f>
        <v>0</v>
      </c>
      <c r="X20" s="188"/>
      <c r="Y20" s="188"/>
      <c r="Z20" s="188"/>
      <c r="AA20" s="26" t="str">
        <f>"acres X "&amp;Tables!G15&amp;" in X 3,630"</f>
        <v>acres X 1.00 in X 3,630</v>
      </c>
      <c r="AX20" s="85" t="str">
        <f>"post-development peak discharge for the "&amp;AS158&amp;"-year to be less than the pre-development "</f>
        <v xml:space="preserve">post-development peak discharge for the 2, 5, 10, 25, 50, and 100-year to be less than the pre-development </v>
      </c>
      <c r="AZ20" s="83"/>
      <c r="BA20" s="83"/>
      <c r="BB20" s="83"/>
      <c r="BC20" s="83"/>
      <c r="BD20" s="83"/>
      <c r="BE20" s="83"/>
      <c r="BF20" s="83"/>
      <c r="BG20" s="83"/>
      <c r="BH20" s="83"/>
      <c r="BI20" s="83"/>
      <c r="BJ20" s="83"/>
      <c r="BK20" s="83"/>
      <c r="BL20" s="60"/>
      <c r="BM20" s="60"/>
      <c r="BN20" s="60"/>
      <c r="BO20" s="60"/>
      <c r="BP20" s="60"/>
      <c r="BQ20" s="60"/>
      <c r="BR20" s="60"/>
      <c r="BS20" s="60"/>
      <c r="BT20" s="60"/>
      <c r="BU20" s="60"/>
      <c r="BV20" s="60"/>
      <c r="BW20" s="60"/>
      <c r="BX20" s="60"/>
      <c r="BY20" s="60"/>
      <c r="BZ20" s="60"/>
      <c r="CA20" s="60"/>
      <c r="CB20" s="60"/>
      <c r="CC20" s="60"/>
      <c r="CD20" s="60"/>
      <c r="CE20" s="60"/>
      <c r="CF20" s="60"/>
      <c r="CG20" s="60"/>
      <c r="CH20" s="60"/>
      <c r="CI20" s="60"/>
    </row>
    <row r="21" spans="2:87" ht="13.95" customHeight="1" thickTop="1" x14ac:dyDescent="0.3">
      <c r="D21" s="2"/>
      <c r="E21" s="2"/>
      <c r="F21" s="2"/>
      <c r="G21" s="2"/>
      <c r="I21" s="2" t="s">
        <v>182</v>
      </c>
      <c r="J21" s="214">
        <f>IF(SUM($J$16:$J$20)=0,0,SUM($J$16:$J$20))</f>
        <v>0</v>
      </c>
      <c r="K21" s="214"/>
      <c r="L21" s="214"/>
      <c r="M21" s="214"/>
      <c r="N21" s="181" t="str">
        <f t="shared" si="0"/>
        <v>Units?</v>
      </c>
      <c r="O21" s="181"/>
      <c r="V21" s="2" t="s">
        <v>38</v>
      </c>
      <c r="W21" s="221">
        <f>IF(AL17=1,"0",IFERROR(ROUND(IF(AP16*Tables!F15*3630&lt;0,0,AP16*Tables!F15*3630),0),""))</f>
        <v>0</v>
      </c>
      <c r="X21" s="221"/>
      <c r="Y21" s="221"/>
      <c r="Z21" s="221"/>
      <c r="AA21" s="26" t="s">
        <v>37</v>
      </c>
      <c r="AX21" s="85" t="str">
        <f>"peak discharge(s) for the "&amp;AR158&amp;"-year storm event(s)"</f>
        <v>peak discharge(s) for the 2, 5, 10, 25, 50, and 100-year storm event(s)</v>
      </c>
      <c r="AZ21" s="83"/>
      <c r="BA21" s="83"/>
      <c r="BB21" s="83"/>
      <c r="BC21" s="83"/>
      <c r="BD21" s="83"/>
      <c r="BE21" s="83"/>
      <c r="BF21" s="83"/>
      <c r="BG21" s="83"/>
      <c r="BH21" s="83"/>
      <c r="BI21" s="83"/>
      <c r="BJ21" s="83"/>
      <c r="BK21" s="83"/>
      <c r="BL21" s="60"/>
      <c r="BM21" s="60"/>
      <c r="BN21" s="60"/>
      <c r="BO21" s="60"/>
      <c r="BP21" s="60"/>
      <c r="BQ21" s="60"/>
      <c r="BR21" s="60"/>
      <c r="BS21" s="60"/>
      <c r="BT21" s="60"/>
      <c r="BU21" s="60"/>
      <c r="BV21" s="60"/>
      <c r="BW21" s="60"/>
      <c r="BX21" s="60"/>
      <c r="BY21" s="60"/>
      <c r="BZ21" s="60"/>
      <c r="CA21" s="60"/>
      <c r="CB21" s="60"/>
      <c r="CC21" s="60"/>
      <c r="CD21" s="60"/>
      <c r="CE21" s="60"/>
      <c r="CF21" s="60"/>
      <c r="CG21" s="60"/>
      <c r="CH21" s="60"/>
      <c r="CI21" s="60"/>
    </row>
    <row r="22" spans="2:87" ht="15" customHeight="1" x14ac:dyDescent="0.3">
      <c r="AV22" s="86">
        <f>AV17+1</f>
        <v>6</v>
      </c>
      <c r="AW22" s="26" t="s">
        <v>582</v>
      </c>
      <c r="AZ22" s="83"/>
      <c r="BA22" s="83"/>
      <c r="BB22" s="83"/>
      <c r="BC22" s="83"/>
      <c r="BD22" s="83"/>
      <c r="BE22" s="83"/>
      <c r="BF22" s="83"/>
      <c r="BG22" s="83"/>
      <c r="BH22" s="83"/>
      <c r="BI22" s="83"/>
      <c r="BJ22" s="83"/>
      <c r="BK22" s="83"/>
      <c r="BL22" s="60"/>
      <c r="BM22" s="60"/>
      <c r="BN22" s="60"/>
      <c r="BO22" s="60"/>
      <c r="BP22" s="60"/>
      <c r="BQ22" s="60"/>
      <c r="BR22" s="60"/>
      <c r="BS22" s="60"/>
      <c r="BT22" s="60"/>
      <c r="BU22" s="60"/>
      <c r="BV22" s="60"/>
      <c r="BW22" s="60"/>
      <c r="BX22" s="60"/>
      <c r="BY22" s="60"/>
      <c r="BZ22" s="60"/>
      <c r="CA22" s="60"/>
      <c r="CB22" s="60"/>
      <c r="CC22" s="60"/>
      <c r="CD22" s="60"/>
      <c r="CE22" s="60"/>
      <c r="CF22" s="60"/>
      <c r="CG22" s="60"/>
      <c r="CH22" s="60"/>
      <c r="CI22" s="60"/>
    </row>
    <row r="23" spans="2:87" ht="13.95" customHeight="1" x14ac:dyDescent="0.3">
      <c r="B23" s="1" t="s">
        <v>3</v>
      </c>
      <c r="C23" s="1"/>
      <c r="D23" s="1"/>
      <c r="E23" s="1"/>
      <c r="F23" s="1"/>
      <c r="G23" s="1"/>
      <c r="H23" s="1"/>
      <c r="I23" s="1"/>
      <c r="X23" s="2" t="s">
        <v>188</v>
      </c>
      <c r="Y23" s="55"/>
      <c r="Z23" s="26" t="s">
        <v>189</v>
      </c>
      <c r="AB23" s="55"/>
      <c r="AC23" s="26" t="s">
        <v>190</v>
      </c>
      <c r="AE23" s="55"/>
      <c r="AF23" s="26" t="s">
        <v>191</v>
      </c>
      <c r="AH23" s="55"/>
      <c r="AI23" s="26" t="s">
        <v>192</v>
      </c>
      <c r="AL23" s="89">
        <f>IF(AND(ISBLANK(Y23),ISBLANK(AB23),ISBLANK(AE23),ISBLANK(AH23)),1,2)</f>
        <v>1</v>
      </c>
      <c r="AW23" s="26" t="s">
        <v>583</v>
      </c>
      <c r="AZ23" s="83"/>
      <c r="BA23" s="83"/>
      <c r="BB23" s="83"/>
      <c r="BC23" s="83"/>
      <c r="BD23" s="83"/>
      <c r="BE23" s="83"/>
      <c r="BF23" s="83"/>
      <c r="BG23" s="83"/>
      <c r="BH23" s="83"/>
      <c r="BI23" s="83"/>
      <c r="BJ23" s="83"/>
      <c r="BK23" s="83"/>
      <c r="BL23" s="60"/>
      <c r="BM23" s="60"/>
      <c r="BN23" s="60"/>
      <c r="BO23" s="60"/>
      <c r="BP23" s="60"/>
      <c r="BQ23" s="60"/>
      <c r="BR23" s="60"/>
      <c r="BS23" s="60"/>
      <c r="BT23" s="60"/>
      <c r="BU23" s="60"/>
      <c r="BV23" s="60"/>
      <c r="BW23" s="60"/>
      <c r="BX23" s="60"/>
      <c r="BY23" s="60"/>
      <c r="BZ23" s="60"/>
      <c r="CA23" s="60"/>
      <c r="CB23" s="60"/>
      <c r="CC23" s="60"/>
      <c r="CD23" s="60"/>
      <c r="CE23" s="60"/>
      <c r="CF23" s="60"/>
      <c r="CG23" s="60"/>
      <c r="CH23" s="60"/>
      <c r="CI23" s="60"/>
    </row>
    <row r="24" spans="2:87" s="20" customFormat="1" ht="15" hidden="1" customHeight="1" x14ac:dyDescent="0.3">
      <c r="B24" s="134"/>
      <c r="C24" s="134"/>
      <c r="D24" s="134"/>
      <c r="E24" s="134"/>
      <c r="F24" s="134"/>
      <c r="G24" s="134"/>
      <c r="H24" s="134"/>
      <c r="I24" s="134"/>
      <c r="L24" s="89">
        <f>IF(ISBLANK(L25),1,2)</f>
        <v>1</v>
      </c>
      <c r="P24" s="89">
        <f>IF(ISBLANK(P25),1,2)</f>
        <v>1</v>
      </c>
      <c r="T24" s="89">
        <f>IF(ISBLANK(T25),1,2)</f>
        <v>1</v>
      </c>
      <c r="X24" s="89">
        <f>IF(ISBLANK(X25),1,2)</f>
        <v>1</v>
      </c>
      <c r="AB24" s="89">
        <f>IF(ISBLANK(AB25),1,2)</f>
        <v>1</v>
      </c>
      <c r="AV24" s="26"/>
      <c r="AW24" s="26"/>
      <c r="AX24" s="85" t="str">
        <f>"peak discharge for the "&amp;AR158&amp;"-year storm event."</f>
        <v>peak discharge for the 2, 5, 10, 25, 50, and 100-year storm event.</v>
      </c>
    </row>
    <row r="25" spans="2:87" ht="13.95" customHeight="1" x14ac:dyDescent="0.3">
      <c r="I25" s="2"/>
      <c r="J25" s="2" t="s">
        <v>48</v>
      </c>
      <c r="K25" s="2"/>
      <c r="L25" s="191"/>
      <c r="M25" s="191"/>
      <c r="N25" s="191"/>
      <c r="P25" s="191"/>
      <c r="Q25" s="191"/>
      <c r="R25" s="191"/>
      <c r="T25" s="191"/>
      <c r="U25" s="191"/>
      <c r="V25" s="191"/>
      <c r="W25" s="4"/>
      <c r="X25" s="191"/>
      <c r="Y25" s="191"/>
      <c r="Z25" s="191"/>
      <c r="AB25" s="191"/>
      <c r="AC25" s="191"/>
      <c r="AD25" s="191"/>
      <c r="AE25" s="4"/>
      <c r="AF25" s="195" t="s">
        <v>13</v>
      </c>
      <c r="AG25" s="195"/>
      <c r="AH25" s="195"/>
      <c r="AI25" s="4"/>
      <c r="AJ25" s="4"/>
      <c r="AW25" s="26" t="s">
        <v>584</v>
      </c>
      <c r="AY25" s="83"/>
      <c r="AZ25" s="83"/>
      <c r="BA25" s="83"/>
      <c r="BB25" s="83"/>
      <c r="BC25" s="83"/>
      <c r="BD25" s="83"/>
      <c r="BE25" s="83"/>
      <c r="BF25" s="83"/>
      <c r="BG25" s="83"/>
      <c r="BH25" s="83"/>
      <c r="BI25" s="83"/>
      <c r="BJ25" s="83"/>
      <c r="BK25" s="83"/>
      <c r="BL25" s="60"/>
      <c r="BM25" s="60"/>
      <c r="BN25" s="60"/>
      <c r="BO25" s="60"/>
      <c r="BP25" s="60"/>
      <c r="BQ25" s="60"/>
      <c r="BR25" s="60"/>
      <c r="BS25" s="60"/>
      <c r="BT25" s="60"/>
      <c r="BU25" s="60"/>
      <c r="BV25" s="60"/>
      <c r="BW25" s="60"/>
      <c r="BX25" s="60"/>
      <c r="BY25" s="60"/>
      <c r="BZ25" s="60"/>
      <c r="CA25" s="60"/>
      <c r="CB25" s="60"/>
      <c r="CC25" s="60"/>
      <c r="CD25" s="60"/>
      <c r="CE25" s="60"/>
      <c r="CF25" s="60"/>
      <c r="CG25" s="60"/>
      <c r="CH25" s="60"/>
      <c r="CI25" s="60"/>
    </row>
    <row r="26" spans="2:87" ht="13.95" customHeight="1" x14ac:dyDescent="0.3">
      <c r="H26" s="2" t="s">
        <v>423</v>
      </c>
      <c r="I26" s="213" t="str">
        <f>IF($AM$16=0,"Units?",IF($AM$16=1,"(ac):",IF($AM$16=2,"(sq-ft):","Error")))</f>
        <v>Units?</v>
      </c>
      <c r="J26" s="213"/>
      <c r="K26" s="2"/>
      <c r="L26" s="182"/>
      <c r="M26" s="182"/>
      <c r="N26" s="182"/>
      <c r="P26" s="182"/>
      <c r="Q26" s="182"/>
      <c r="R26" s="182"/>
      <c r="T26" s="182"/>
      <c r="U26" s="182"/>
      <c r="V26" s="182"/>
      <c r="W26" s="4"/>
      <c r="X26" s="182"/>
      <c r="Y26" s="182"/>
      <c r="Z26" s="182"/>
      <c r="AB26" s="182"/>
      <c r="AC26" s="182"/>
      <c r="AD26" s="182"/>
      <c r="AE26" s="4"/>
      <c r="AF26" s="180"/>
      <c r="AG26" s="180"/>
      <c r="AH26" s="180"/>
      <c r="AI26" s="4"/>
      <c r="AJ26" s="4"/>
      <c r="AV26" s="86">
        <f>AV22+1</f>
        <v>7</v>
      </c>
      <c r="AW26" s="26" t="s">
        <v>433</v>
      </c>
      <c r="AY26" s="83"/>
      <c r="AZ26" s="83"/>
      <c r="BA26" s="83"/>
      <c r="BB26" s="83"/>
      <c r="BC26" s="83"/>
      <c r="BD26" s="83"/>
      <c r="BE26" s="83"/>
      <c r="BF26" s="83"/>
      <c r="BG26" s="83"/>
      <c r="BH26" s="83"/>
      <c r="BI26" s="83"/>
      <c r="BJ26" s="83"/>
      <c r="BK26" s="83"/>
      <c r="BL26" s="60"/>
      <c r="BM26" s="60"/>
      <c r="BN26" s="60"/>
      <c r="BO26" s="60"/>
      <c r="BP26" s="60"/>
      <c r="BQ26" s="60"/>
      <c r="BR26" s="60"/>
      <c r="BS26" s="60"/>
      <c r="BT26" s="60"/>
      <c r="BU26" s="60"/>
      <c r="BV26" s="60"/>
      <c r="BW26" s="60"/>
      <c r="BX26" s="60"/>
      <c r="BY26" s="60"/>
      <c r="BZ26" s="60"/>
      <c r="CA26" s="60"/>
      <c r="CB26" s="60"/>
      <c r="CC26" s="60"/>
      <c r="CD26" s="60"/>
      <c r="CE26" s="60"/>
      <c r="CF26" s="60"/>
      <c r="CG26" s="60"/>
      <c r="CH26" s="60"/>
      <c r="CI26" s="60"/>
    </row>
    <row r="27" spans="2:87" ht="13.95" customHeight="1" x14ac:dyDescent="0.3">
      <c r="I27" s="2"/>
      <c r="J27" s="2" t="s">
        <v>4</v>
      </c>
      <c r="K27" s="2"/>
      <c r="L27" s="210"/>
      <c r="M27" s="210"/>
      <c r="N27" s="210"/>
      <c r="P27" s="184"/>
      <c r="Q27" s="184"/>
      <c r="R27" s="184"/>
      <c r="S27" s="67"/>
      <c r="T27" s="184"/>
      <c r="U27" s="184"/>
      <c r="V27" s="184"/>
      <c r="W27" s="4"/>
      <c r="X27" s="184"/>
      <c r="Y27" s="184"/>
      <c r="Z27" s="184"/>
      <c r="AB27" s="184"/>
      <c r="AC27" s="184"/>
      <c r="AD27" s="184"/>
      <c r="AE27" s="4"/>
      <c r="AF27" s="125"/>
      <c r="AG27" s="125"/>
      <c r="AH27" s="125"/>
      <c r="AI27" s="4"/>
      <c r="AJ27" s="4"/>
      <c r="AV27" s="86"/>
      <c r="AW27" s="26" t="s">
        <v>434</v>
      </c>
      <c r="AX27" s="83"/>
      <c r="AY27" s="83"/>
      <c r="AZ27" s="83"/>
      <c r="BA27" s="83"/>
      <c r="BB27" s="83"/>
      <c r="BC27" s="83"/>
      <c r="BD27" s="83"/>
      <c r="BE27" s="83"/>
      <c r="BF27" s="83"/>
      <c r="BG27" s="83"/>
      <c r="BH27" s="83"/>
      <c r="BI27" s="83"/>
      <c r="BJ27" s="83"/>
      <c r="BK27" s="83"/>
      <c r="BL27" s="60"/>
      <c r="BM27" s="60"/>
      <c r="BN27" s="60"/>
      <c r="BO27" s="60"/>
      <c r="BP27" s="60"/>
      <c r="BQ27" s="60"/>
      <c r="BR27" s="60"/>
      <c r="BS27" s="60"/>
      <c r="BT27" s="60"/>
      <c r="BU27" s="60"/>
      <c r="BV27" s="60"/>
      <c r="BW27" s="60"/>
      <c r="BX27" s="60"/>
      <c r="BY27" s="60"/>
      <c r="BZ27" s="60"/>
      <c r="CA27" s="60"/>
      <c r="CB27" s="60"/>
      <c r="CC27" s="60"/>
      <c r="CD27" s="60"/>
      <c r="CE27" s="60"/>
      <c r="CF27" s="60"/>
      <c r="CG27" s="60"/>
      <c r="CH27" s="60"/>
      <c r="CI27" s="60"/>
    </row>
    <row r="28" spans="2:87" ht="13.95" customHeight="1" x14ac:dyDescent="0.3">
      <c r="I28" s="2"/>
      <c r="J28" s="2" t="s">
        <v>53</v>
      </c>
      <c r="K28" s="2"/>
      <c r="L28" s="190"/>
      <c r="M28" s="190"/>
      <c r="N28" s="190"/>
      <c r="P28" s="183"/>
      <c r="Q28" s="183"/>
      <c r="R28" s="183"/>
      <c r="S28" s="28"/>
      <c r="T28" s="183"/>
      <c r="U28" s="183"/>
      <c r="V28" s="183"/>
      <c r="W28" s="4"/>
      <c r="X28" s="183"/>
      <c r="Y28" s="183"/>
      <c r="Z28" s="183"/>
      <c r="AB28" s="183"/>
      <c r="AC28" s="183"/>
      <c r="AD28" s="183"/>
      <c r="AE28" s="4"/>
      <c r="AF28" s="28"/>
      <c r="AG28" s="28"/>
      <c r="AH28" s="28"/>
      <c r="AI28" s="4"/>
      <c r="AJ28" s="4"/>
      <c r="AL28" s="93">
        <f>SUM(AL29:AL34)</f>
        <v>0</v>
      </c>
      <c r="AM28" s="89">
        <f>SUM(AM29:AM34)</f>
        <v>0</v>
      </c>
      <c r="AN28" s="10" t="s">
        <v>13</v>
      </c>
      <c r="AW28" s="26" t="s">
        <v>435</v>
      </c>
      <c r="AY28" s="83"/>
      <c r="AZ28" s="83"/>
      <c r="BA28" s="83"/>
      <c r="BB28" s="83"/>
      <c r="BC28" s="83"/>
      <c r="BD28" s="83"/>
      <c r="BE28" s="83"/>
      <c r="BF28" s="83"/>
      <c r="BG28" s="83"/>
      <c r="BH28" s="83"/>
      <c r="BI28" s="83"/>
      <c r="BJ28" s="83"/>
      <c r="BK28" s="83"/>
      <c r="BL28" s="60"/>
      <c r="BM28" s="60"/>
      <c r="BN28" s="60"/>
      <c r="BO28" s="60"/>
      <c r="BP28" s="60"/>
      <c r="BQ28" s="60"/>
      <c r="BR28" s="60"/>
      <c r="BS28" s="60"/>
      <c r="BT28" s="60"/>
      <c r="BU28" s="60"/>
      <c r="BV28" s="60"/>
      <c r="BW28" s="60"/>
      <c r="BX28" s="60"/>
      <c r="BY28" s="60"/>
      <c r="BZ28" s="60"/>
      <c r="CA28" s="60"/>
      <c r="CB28" s="60"/>
      <c r="CC28" s="60"/>
      <c r="CD28" s="60"/>
      <c r="CE28" s="60"/>
      <c r="CF28" s="60"/>
      <c r="CG28" s="60"/>
      <c r="CH28" s="60"/>
      <c r="CI28" s="60"/>
    </row>
    <row r="29" spans="2:87" ht="13.95" customHeight="1" x14ac:dyDescent="0.3">
      <c r="D29" s="224" t="s">
        <v>299</v>
      </c>
      <c r="E29" s="224"/>
      <c r="F29" s="193">
        <f>Tables!$F$16</f>
        <v>6.02</v>
      </c>
      <c r="G29" s="193"/>
      <c r="H29" s="28"/>
      <c r="J29" s="2" t="str">
        <f>Tables!$D$16</f>
        <v>(2-yr)</v>
      </c>
      <c r="K29" s="2"/>
      <c r="L29" s="180"/>
      <c r="M29" s="180"/>
      <c r="N29" s="180"/>
      <c r="P29" s="180"/>
      <c r="Q29" s="180"/>
      <c r="R29" s="180"/>
      <c r="S29" s="33"/>
      <c r="T29" s="180"/>
      <c r="U29" s="180"/>
      <c r="V29" s="180"/>
      <c r="W29" s="4"/>
      <c r="X29" s="180"/>
      <c r="Y29" s="180"/>
      <c r="Z29" s="180"/>
      <c r="AB29" s="180"/>
      <c r="AC29" s="180"/>
      <c r="AD29" s="180"/>
      <c r="AE29" s="4"/>
      <c r="AF29" s="180"/>
      <c r="AG29" s="180"/>
      <c r="AH29" s="180"/>
      <c r="AI29" s="4"/>
      <c r="AJ29" s="4"/>
      <c r="AL29" s="89">
        <f t="shared" ref="AL29:AL34" si="1">IF(AF29=0,0,1)</f>
        <v>0</v>
      </c>
      <c r="AM29" s="89">
        <f t="shared" ref="AM29:AM34" si="2">IF(ISBLANK(AF29),0,1)</f>
        <v>0</v>
      </c>
      <c r="AW29" s="26" t="s">
        <v>585</v>
      </c>
      <c r="AY29" s="83"/>
      <c r="AZ29" s="83"/>
      <c r="BA29" s="83"/>
      <c r="BB29" s="83"/>
      <c r="BC29" s="83"/>
      <c r="BD29" s="83"/>
      <c r="BE29" s="83"/>
      <c r="BF29" s="83"/>
      <c r="BG29" s="83"/>
      <c r="BH29" s="83"/>
      <c r="BI29" s="83"/>
      <c r="BJ29" s="83"/>
      <c r="BK29" s="83"/>
      <c r="BL29" s="60"/>
      <c r="BM29" s="60"/>
      <c r="BN29" s="60"/>
      <c r="BO29" s="60"/>
      <c r="BP29" s="60"/>
      <c r="BQ29" s="60"/>
      <c r="BR29" s="60"/>
      <c r="BS29" s="60"/>
      <c r="BT29" s="60"/>
      <c r="BU29" s="60"/>
      <c r="BV29" s="60"/>
      <c r="BW29" s="60"/>
      <c r="BX29" s="60"/>
      <c r="BY29" s="60"/>
      <c r="BZ29" s="60"/>
      <c r="CA29" s="60"/>
      <c r="CB29" s="60"/>
      <c r="CC29" s="60"/>
      <c r="CD29" s="60"/>
      <c r="CE29" s="60"/>
      <c r="CF29" s="60"/>
      <c r="CG29" s="60"/>
      <c r="CH29" s="60"/>
      <c r="CI29" s="60"/>
    </row>
    <row r="30" spans="2:87" ht="13.95" customHeight="1" x14ac:dyDescent="0.3">
      <c r="D30" s="224"/>
      <c r="E30" s="224"/>
      <c r="F30" s="193">
        <f>Tables!$F$17</f>
        <v>7.68</v>
      </c>
      <c r="G30" s="193"/>
      <c r="H30" s="28"/>
      <c r="J30" s="2" t="str">
        <f>Tables!$D$17</f>
        <v>(5-yr)</v>
      </c>
      <c r="K30" s="2"/>
      <c r="L30" s="180"/>
      <c r="M30" s="180"/>
      <c r="N30" s="180"/>
      <c r="P30" s="180"/>
      <c r="Q30" s="180"/>
      <c r="R30" s="180"/>
      <c r="S30" s="33"/>
      <c r="T30" s="182"/>
      <c r="U30" s="182"/>
      <c r="V30" s="182"/>
      <c r="W30" s="4"/>
      <c r="X30" s="182"/>
      <c r="Y30" s="182"/>
      <c r="Z30" s="182"/>
      <c r="AB30" s="182"/>
      <c r="AC30" s="182"/>
      <c r="AD30" s="182"/>
      <c r="AE30" s="4"/>
      <c r="AF30" s="182"/>
      <c r="AG30" s="182"/>
      <c r="AH30" s="182"/>
      <c r="AI30" s="4"/>
      <c r="AJ30" s="4"/>
      <c r="AL30" s="89">
        <f t="shared" si="1"/>
        <v>0</v>
      </c>
      <c r="AM30" s="89">
        <f t="shared" si="2"/>
        <v>0</v>
      </c>
      <c r="AV30" s="86">
        <f>AV26+1</f>
        <v>8</v>
      </c>
      <c r="AW30" s="85" t="s">
        <v>397</v>
      </c>
      <c r="AX30" s="83"/>
      <c r="AY30" s="83"/>
      <c r="AZ30" s="83"/>
      <c r="BA30" s="83"/>
      <c r="BB30" s="83"/>
      <c r="BC30" s="83"/>
      <c r="BD30" s="83"/>
      <c r="BE30" s="83"/>
      <c r="BF30" s="83"/>
      <c r="BG30" s="83"/>
      <c r="BH30" s="83"/>
      <c r="BI30" s="83"/>
      <c r="BJ30" s="83"/>
      <c r="BK30" s="83"/>
      <c r="BL30" s="60"/>
      <c r="BM30" s="60"/>
      <c r="BN30" s="60"/>
      <c r="BO30" s="60"/>
      <c r="BP30" s="60"/>
      <c r="BQ30" s="60"/>
      <c r="BR30" s="60"/>
      <c r="BS30" s="60"/>
      <c r="BT30" s="60"/>
      <c r="BU30" s="60"/>
      <c r="BV30" s="60"/>
      <c r="BW30" s="60"/>
      <c r="BX30" s="60"/>
      <c r="BY30" s="60"/>
      <c r="BZ30" s="60"/>
      <c r="CA30" s="60"/>
      <c r="CB30" s="60"/>
      <c r="CC30" s="60"/>
      <c r="CD30" s="60"/>
      <c r="CE30" s="60"/>
      <c r="CF30" s="60"/>
      <c r="CG30" s="60"/>
      <c r="CH30" s="60"/>
      <c r="CI30" s="60"/>
    </row>
    <row r="31" spans="2:87" ht="13.95" customHeight="1" x14ac:dyDescent="0.3">
      <c r="D31" s="224"/>
      <c r="E31" s="224"/>
      <c r="F31" s="193">
        <f>Tables!$F$18</f>
        <v>9.26</v>
      </c>
      <c r="G31" s="193"/>
      <c r="H31" s="28"/>
      <c r="J31" s="2" t="str">
        <f>Tables!$D$18</f>
        <v>(10-yr)</v>
      </c>
      <c r="K31" s="2"/>
      <c r="L31" s="180"/>
      <c r="M31" s="180"/>
      <c r="N31" s="180"/>
      <c r="P31" s="182"/>
      <c r="Q31" s="182"/>
      <c r="R31" s="182"/>
      <c r="S31" s="33"/>
      <c r="T31" s="182"/>
      <c r="U31" s="182"/>
      <c r="V31" s="182"/>
      <c r="W31" s="4"/>
      <c r="X31" s="182"/>
      <c r="Y31" s="182"/>
      <c r="Z31" s="182"/>
      <c r="AB31" s="182"/>
      <c r="AC31" s="182"/>
      <c r="AD31" s="182"/>
      <c r="AE31" s="4"/>
      <c r="AF31" s="182"/>
      <c r="AG31" s="182"/>
      <c r="AH31" s="182"/>
      <c r="AI31" s="4"/>
      <c r="AJ31" s="4"/>
      <c r="AL31" s="89">
        <f t="shared" si="1"/>
        <v>0</v>
      </c>
      <c r="AM31" s="89">
        <f t="shared" si="2"/>
        <v>0</v>
      </c>
      <c r="AW31" s="85" t="s">
        <v>398</v>
      </c>
      <c r="AX31" s="83"/>
      <c r="AY31" s="83"/>
      <c r="BL31" s="25"/>
      <c r="BM31" s="25"/>
      <c r="BN31" s="25"/>
      <c r="BO31" s="25"/>
      <c r="BP31" s="25"/>
      <c r="BQ31" s="25"/>
      <c r="BR31" s="25"/>
      <c r="BS31" s="25"/>
      <c r="BT31" s="25"/>
      <c r="BU31" s="25"/>
      <c r="BV31" s="25"/>
      <c r="BW31" s="25"/>
      <c r="BX31" s="25"/>
      <c r="BY31" s="25"/>
      <c r="BZ31" s="25"/>
      <c r="CA31" s="25"/>
      <c r="CB31" s="25"/>
      <c r="CC31" s="25"/>
      <c r="CD31" s="25"/>
      <c r="CE31" s="25"/>
      <c r="CF31" s="25"/>
      <c r="CG31" s="25"/>
      <c r="CH31" s="25"/>
      <c r="CI31" s="25"/>
    </row>
    <row r="32" spans="2:87" ht="13.95" customHeight="1" x14ac:dyDescent="0.3">
      <c r="D32" s="224"/>
      <c r="E32" s="224"/>
      <c r="F32" s="193">
        <f>Tables!$F$19</f>
        <v>11.7</v>
      </c>
      <c r="G32" s="193"/>
      <c r="H32" s="28"/>
      <c r="J32" s="2" t="str">
        <f>Tables!$D$19</f>
        <v>(25-yr)</v>
      </c>
      <c r="K32" s="2"/>
      <c r="L32" s="180"/>
      <c r="M32" s="180"/>
      <c r="N32" s="180"/>
      <c r="P32" s="182"/>
      <c r="Q32" s="182"/>
      <c r="R32" s="182"/>
      <c r="S32" s="33"/>
      <c r="T32" s="182"/>
      <c r="U32" s="182"/>
      <c r="V32" s="182"/>
      <c r="W32" s="4"/>
      <c r="X32" s="182"/>
      <c r="Y32" s="182"/>
      <c r="Z32" s="182"/>
      <c r="AB32" s="182"/>
      <c r="AC32" s="182"/>
      <c r="AD32" s="182"/>
      <c r="AE32" s="4"/>
      <c r="AF32" s="182"/>
      <c r="AG32" s="182"/>
      <c r="AH32" s="182"/>
      <c r="AI32" s="4"/>
      <c r="AJ32" s="4"/>
      <c r="AL32" s="89">
        <f t="shared" si="1"/>
        <v>0</v>
      </c>
      <c r="AM32" s="89">
        <f t="shared" si="2"/>
        <v>0</v>
      </c>
      <c r="AV32" s="86">
        <f>AV30+1</f>
        <v>9</v>
      </c>
      <c r="AW32" s="85" t="s">
        <v>399</v>
      </c>
      <c r="AY32" s="83"/>
      <c r="BL32" s="25"/>
      <c r="BM32" s="25"/>
      <c r="BN32" s="25"/>
      <c r="BO32" s="25"/>
      <c r="BP32" s="25"/>
      <c r="BQ32" s="25"/>
      <c r="BR32" s="25"/>
      <c r="BS32" s="25"/>
      <c r="BT32" s="25"/>
      <c r="BU32" s="25"/>
      <c r="BV32" s="25"/>
      <c r="BW32" s="25"/>
      <c r="BX32" s="25"/>
      <c r="BY32" s="25"/>
      <c r="BZ32" s="25"/>
      <c r="CA32" s="25"/>
      <c r="CB32" s="25"/>
      <c r="CC32" s="25"/>
      <c r="CD32" s="25"/>
      <c r="CE32" s="25"/>
      <c r="CF32" s="25"/>
      <c r="CG32" s="25"/>
      <c r="CH32" s="25"/>
      <c r="CI32" s="25"/>
    </row>
    <row r="33" spans="2:87" ht="13.95" customHeight="1" x14ac:dyDescent="0.3">
      <c r="D33" s="224"/>
      <c r="E33" s="224"/>
      <c r="F33" s="193">
        <f>Tables!$F$20</f>
        <v>13.9</v>
      </c>
      <c r="G33" s="193"/>
      <c r="H33" s="28"/>
      <c r="J33" s="2" t="str">
        <f>Tables!$D$20</f>
        <v>(50-yr)</v>
      </c>
      <c r="K33" s="2"/>
      <c r="L33" s="180"/>
      <c r="M33" s="180"/>
      <c r="N33" s="180"/>
      <c r="P33" s="182"/>
      <c r="Q33" s="182"/>
      <c r="R33" s="182"/>
      <c r="S33" s="33"/>
      <c r="T33" s="182"/>
      <c r="U33" s="182"/>
      <c r="V33" s="182"/>
      <c r="W33" s="4"/>
      <c r="X33" s="182"/>
      <c r="Y33" s="182"/>
      <c r="Z33" s="182"/>
      <c r="AB33" s="182"/>
      <c r="AC33" s="182"/>
      <c r="AD33" s="182"/>
      <c r="AE33" s="4"/>
      <c r="AF33" s="182"/>
      <c r="AG33" s="182"/>
      <c r="AH33" s="182"/>
      <c r="AI33" s="4"/>
      <c r="AJ33" s="4"/>
      <c r="AL33" s="89">
        <f t="shared" si="1"/>
        <v>0</v>
      </c>
      <c r="AM33" s="89">
        <f t="shared" si="2"/>
        <v>0</v>
      </c>
      <c r="AW33" s="4" t="s">
        <v>94</v>
      </c>
      <c r="AX33" s="85" t="s">
        <v>400</v>
      </c>
      <c r="AY33" s="83"/>
      <c r="BL33" s="25"/>
      <c r="BM33" s="25"/>
      <c r="BN33" s="25"/>
      <c r="BO33" s="25"/>
      <c r="BP33" s="25"/>
      <c r="BQ33" s="25"/>
      <c r="BR33" s="25"/>
      <c r="BS33" s="25"/>
      <c r="BT33" s="25"/>
      <c r="BU33" s="25"/>
      <c r="BV33" s="25"/>
      <c r="BW33" s="25"/>
      <c r="BX33" s="25"/>
      <c r="BY33" s="25"/>
      <c r="BZ33" s="25"/>
      <c r="CA33" s="25"/>
      <c r="CB33" s="25"/>
      <c r="CC33" s="25"/>
      <c r="CD33" s="25"/>
      <c r="CE33" s="25"/>
      <c r="CF33" s="25"/>
      <c r="CG33" s="25"/>
      <c r="CH33" s="25"/>
      <c r="CI33" s="25"/>
    </row>
    <row r="34" spans="2:87" ht="13.95" customHeight="1" x14ac:dyDescent="0.3">
      <c r="D34" s="224"/>
      <c r="E34" s="224"/>
      <c r="F34" s="193">
        <f>Tables!$F$21</f>
        <v>16.3</v>
      </c>
      <c r="G34" s="193"/>
      <c r="H34" s="28"/>
      <c r="J34" s="2" t="str">
        <f>Tables!$D$21</f>
        <v>(100-yr)</v>
      </c>
      <c r="K34" s="2"/>
      <c r="L34" s="180"/>
      <c r="M34" s="180"/>
      <c r="N34" s="180"/>
      <c r="P34" s="182"/>
      <c r="Q34" s="182"/>
      <c r="R34" s="182"/>
      <c r="S34" s="33"/>
      <c r="T34" s="182"/>
      <c r="U34" s="182"/>
      <c r="V34" s="182"/>
      <c r="W34" s="4"/>
      <c r="X34" s="182"/>
      <c r="Y34" s="182"/>
      <c r="Z34" s="182"/>
      <c r="AB34" s="182"/>
      <c r="AC34" s="182"/>
      <c r="AD34" s="182"/>
      <c r="AE34" s="4"/>
      <c r="AF34" s="182"/>
      <c r="AG34" s="182"/>
      <c r="AH34" s="182"/>
      <c r="AI34" s="4"/>
      <c r="AJ34" s="4"/>
      <c r="AL34" s="89">
        <f t="shared" si="1"/>
        <v>0</v>
      </c>
      <c r="AM34" s="89">
        <f t="shared" si="2"/>
        <v>0</v>
      </c>
      <c r="AW34" s="4"/>
      <c r="AX34" s="85" t="s">
        <v>401</v>
      </c>
      <c r="AY34" s="83"/>
      <c r="BL34" s="25"/>
      <c r="BM34" s="25"/>
      <c r="BN34" s="25"/>
      <c r="BO34" s="25"/>
      <c r="BP34" s="25"/>
      <c r="BQ34" s="25"/>
      <c r="BR34" s="25"/>
      <c r="BS34" s="25"/>
      <c r="BT34" s="25"/>
      <c r="BU34" s="25"/>
      <c r="BV34" s="25"/>
      <c r="BW34" s="25"/>
      <c r="BX34" s="25"/>
      <c r="BY34" s="25"/>
      <c r="BZ34" s="25"/>
      <c r="CA34" s="25"/>
      <c r="CB34" s="25"/>
      <c r="CC34" s="25"/>
      <c r="CD34" s="25"/>
      <c r="CE34" s="25"/>
      <c r="CF34" s="25"/>
      <c r="CG34" s="25"/>
      <c r="CH34" s="25"/>
      <c r="CI34" s="25"/>
    </row>
    <row r="35" spans="2:87" ht="15" customHeight="1" x14ac:dyDescent="0.3">
      <c r="AL35" s="100"/>
      <c r="AM35" s="20"/>
      <c r="AX35" s="85" t="s">
        <v>409</v>
      </c>
      <c r="AY35" s="83"/>
      <c r="BL35" s="25"/>
      <c r="BM35" s="25"/>
      <c r="BN35" s="25"/>
      <c r="BO35" s="25"/>
      <c r="BP35" s="25"/>
      <c r="BQ35" s="25"/>
      <c r="BR35" s="25"/>
      <c r="BS35" s="25"/>
      <c r="BT35" s="25"/>
      <c r="BU35" s="25"/>
      <c r="BV35" s="25"/>
      <c r="BW35" s="25"/>
      <c r="BX35" s="25"/>
      <c r="BY35" s="25"/>
      <c r="BZ35" s="25"/>
      <c r="CA35" s="25"/>
      <c r="CB35" s="25"/>
      <c r="CC35" s="25"/>
      <c r="CD35" s="25"/>
      <c r="CE35" s="25"/>
      <c r="CF35" s="25"/>
      <c r="CG35" s="25"/>
      <c r="CH35" s="25"/>
      <c r="CI35" s="25"/>
    </row>
    <row r="36" spans="2:87" ht="13.95" customHeight="1" x14ac:dyDescent="0.3">
      <c r="B36" s="1" t="s">
        <v>11</v>
      </c>
      <c r="C36" s="1"/>
      <c r="D36" s="1"/>
      <c r="E36" s="1"/>
      <c r="F36" s="1"/>
      <c r="G36" s="1"/>
      <c r="H36" s="1"/>
      <c r="I36" s="1"/>
      <c r="AL36" s="89">
        <f>IF(AND(ISBLANK(P36),ISBLANK(S36),ISBLANK(V36),ISBLANK(Y36)),1,2)</f>
        <v>1</v>
      </c>
      <c r="AV36" s="86"/>
      <c r="AW36" s="86" t="s">
        <v>95</v>
      </c>
      <c r="AX36" s="85" t="s">
        <v>402</v>
      </c>
      <c r="BL36" s="25"/>
      <c r="BM36" s="25"/>
      <c r="BN36" s="25"/>
      <c r="BO36" s="25"/>
      <c r="BP36" s="25"/>
      <c r="BQ36" s="25"/>
      <c r="BR36" s="25"/>
      <c r="BS36" s="25"/>
      <c r="BT36" s="25"/>
      <c r="BU36" s="25"/>
      <c r="BV36" s="25"/>
      <c r="BW36" s="25"/>
      <c r="BX36" s="25"/>
      <c r="BY36" s="25"/>
      <c r="BZ36" s="25"/>
      <c r="CA36" s="25"/>
      <c r="CB36" s="25"/>
      <c r="CC36" s="25"/>
      <c r="CD36" s="25"/>
      <c r="CE36" s="25"/>
      <c r="CF36" s="25"/>
      <c r="CG36" s="25"/>
      <c r="CH36" s="25"/>
      <c r="CI36" s="25"/>
    </row>
    <row r="37" spans="2:87" s="20" customFormat="1" ht="15" hidden="1" customHeight="1" x14ac:dyDescent="0.3">
      <c r="B37" s="134"/>
      <c r="C37" s="134"/>
      <c r="D37" s="134"/>
      <c r="E37" s="134"/>
      <c r="F37" s="134"/>
      <c r="G37" s="134"/>
      <c r="H37" s="134"/>
      <c r="I37" s="134"/>
      <c r="L37" s="89">
        <f>IF(ISBLANK(L38),1,2)</f>
        <v>1</v>
      </c>
      <c r="P37" s="89">
        <f>IF(ISBLANK(P38),1,2)</f>
        <v>1</v>
      </c>
      <c r="T37" s="89">
        <f>IF(ISBLANK(T38),1,2)</f>
        <v>1</v>
      </c>
      <c r="X37" s="89">
        <f>IF(ISBLANK(X38),1,2)</f>
        <v>1</v>
      </c>
      <c r="AB37" s="89">
        <f>IF(ISBLANK(AB38),1,2)</f>
        <v>1</v>
      </c>
      <c r="BL37" s="135"/>
      <c r="BM37" s="135"/>
      <c r="BN37" s="135"/>
      <c r="BO37" s="135"/>
      <c r="BP37" s="135"/>
      <c r="BQ37" s="135"/>
      <c r="BR37" s="135"/>
      <c r="BS37" s="135"/>
      <c r="BT37" s="135"/>
      <c r="BU37" s="135"/>
      <c r="BV37" s="135"/>
      <c r="BW37" s="135"/>
      <c r="BX37" s="135"/>
      <c r="BY37" s="135"/>
      <c r="BZ37" s="135"/>
      <c r="CA37" s="135"/>
      <c r="CB37" s="135"/>
      <c r="CC37" s="135"/>
      <c r="CD37" s="135"/>
      <c r="CE37" s="135"/>
      <c r="CF37" s="135"/>
      <c r="CG37" s="135"/>
      <c r="CH37" s="135"/>
      <c r="CI37" s="135"/>
    </row>
    <row r="38" spans="2:87" ht="13.95" customHeight="1" x14ac:dyDescent="0.3">
      <c r="I38" s="2"/>
      <c r="J38" s="2" t="s">
        <v>48</v>
      </c>
      <c r="K38" s="2"/>
      <c r="L38" s="191"/>
      <c r="M38" s="191"/>
      <c r="N38" s="191"/>
      <c r="P38" s="191"/>
      <c r="Q38" s="191"/>
      <c r="R38" s="191"/>
      <c r="S38" s="4"/>
      <c r="T38" s="191"/>
      <c r="U38" s="191"/>
      <c r="V38" s="191"/>
      <c r="W38" s="4"/>
      <c r="X38" s="191"/>
      <c r="Y38" s="191"/>
      <c r="Z38" s="191"/>
      <c r="AB38" s="191"/>
      <c r="AC38" s="191"/>
      <c r="AD38" s="191"/>
      <c r="AE38" s="4"/>
      <c r="AG38" s="4" t="s">
        <v>12</v>
      </c>
      <c r="AH38" s="4"/>
      <c r="AI38" s="4"/>
      <c r="AJ38" s="4"/>
      <c r="AW38" s="86"/>
      <c r="AX38" s="85" t="s">
        <v>403</v>
      </c>
      <c r="BL38" s="25"/>
      <c r="BM38" s="25"/>
      <c r="BN38" s="25"/>
      <c r="BO38" s="25"/>
      <c r="BP38" s="25"/>
      <c r="BQ38" s="25"/>
      <c r="BR38" s="25"/>
      <c r="BS38" s="25"/>
      <c r="BT38" s="25"/>
      <c r="BU38" s="25"/>
      <c r="BV38" s="25"/>
      <c r="BW38" s="25"/>
      <c r="BX38" s="25"/>
      <c r="BY38" s="25"/>
      <c r="BZ38" s="25"/>
      <c r="CA38" s="25"/>
      <c r="CB38" s="25"/>
      <c r="CC38" s="25"/>
      <c r="CD38" s="25"/>
      <c r="CE38" s="25"/>
      <c r="CF38" s="25"/>
      <c r="CG38" s="25"/>
      <c r="CH38" s="25"/>
      <c r="CI38" s="25"/>
    </row>
    <row r="39" spans="2:87" ht="13.95" customHeight="1" x14ac:dyDescent="0.3">
      <c r="H39" s="2" t="s">
        <v>423</v>
      </c>
      <c r="I39" s="213" t="str">
        <f>IF($AM$16=0,"Units?",IF($AM$16=1,"(ac):",IF($AM$16=2,"(sq-ft):","Error")))</f>
        <v>Units?</v>
      </c>
      <c r="J39" s="213"/>
      <c r="K39" s="2"/>
      <c r="L39" s="180"/>
      <c r="M39" s="180"/>
      <c r="N39" s="180"/>
      <c r="P39" s="182"/>
      <c r="Q39" s="182"/>
      <c r="R39" s="182"/>
      <c r="S39" s="4"/>
      <c r="T39" s="182"/>
      <c r="U39" s="182"/>
      <c r="V39" s="182"/>
      <c r="W39" s="4"/>
      <c r="X39" s="182"/>
      <c r="Y39" s="182"/>
      <c r="Z39" s="182"/>
      <c r="AB39" s="182"/>
      <c r="AC39" s="182"/>
      <c r="AD39" s="182"/>
      <c r="AE39" s="4"/>
      <c r="AF39" s="180"/>
      <c r="AG39" s="180"/>
      <c r="AH39" s="180"/>
      <c r="AI39" s="4"/>
      <c r="AJ39" s="4"/>
      <c r="AV39" s="86"/>
      <c r="AW39" s="86" t="s">
        <v>108</v>
      </c>
      <c r="AX39" s="85" t="s">
        <v>404</v>
      </c>
      <c r="BL39" s="25"/>
      <c r="BM39" s="25"/>
      <c r="BN39" s="25"/>
      <c r="BO39" s="25"/>
      <c r="BP39" s="25"/>
      <c r="BQ39" s="25"/>
      <c r="BR39" s="25"/>
      <c r="BS39" s="25"/>
      <c r="BT39" s="25"/>
      <c r="BU39" s="25"/>
      <c r="BV39" s="25"/>
      <c r="BW39" s="25"/>
      <c r="BX39" s="25"/>
      <c r="BY39" s="25"/>
      <c r="BZ39" s="25"/>
      <c r="CA39" s="25"/>
      <c r="CB39" s="25"/>
      <c r="CC39" s="25"/>
      <c r="CD39" s="25"/>
      <c r="CE39" s="25"/>
      <c r="CF39" s="25"/>
      <c r="CG39" s="25"/>
      <c r="CH39" s="25"/>
      <c r="CI39" s="25"/>
    </row>
    <row r="40" spans="2:87" ht="13.95" customHeight="1" x14ac:dyDescent="0.3">
      <c r="I40" s="2"/>
      <c r="J40" s="2" t="s">
        <v>4</v>
      </c>
      <c r="K40" s="2"/>
      <c r="L40" s="210"/>
      <c r="M40" s="210"/>
      <c r="N40" s="210"/>
      <c r="P40" s="184"/>
      <c r="Q40" s="184"/>
      <c r="R40" s="184"/>
      <c r="S40" s="4"/>
      <c r="T40" s="184"/>
      <c r="U40" s="184"/>
      <c r="V40" s="184"/>
      <c r="W40" s="4"/>
      <c r="X40" s="184"/>
      <c r="Y40" s="184"/>
      <c r="Z40" s="184"/>
      <c r="AB40" s="184"/>
      <c r="AC40" s="184"/>
      <c r="AD40" s="184"/>
      <c r="AE40" s="4"/>
      <c r="AF40" s="125"/>
      <c r="AG40" s="125"/>
      <c r="AH40" s="125"/>
      <c r="AI40" s="4"/>
      <c r="AJ40" s="4"/>
      <c r="AV40" s="86"/>
      <c r="AW40" s="86"/>
      <c r="AX40" s="85" t="s">
        <v>405</v>
      </c>
      <c r="BL40" s="25"/>
      <c r="BM40" s="25"/>
      <c r="BN40" s="25"/>
      <c r="BO40" s="25"/>
      <c r="BP40" s="25"/>
      <c r="BQ40" s="25"/>
      <c r="BR40" s="25"/>
      <c r="BS40" s="25"/>
      <c r="BT40" s="25"/>
      <c r="BU40" s="25"/>
      <c r="BV40" s="25"/>
      <c r="BW40" s="25"/>
      <c r="BX40" s="25"/>
      <c r="BY40" s="25"/>
      <c r="BZ40" s="25"/>
      <c r="CA40" s="25"/>
      <c r="CB40" s="25"/>
      <c r="CC40" s="25"/>
      <c r="CD40" s="25"/>
      <c r="CE40" s="25"/>
      <c r="CF40" s="25"/>
      <c r="CG40" s="25"/>
      <c r="CH40" s="25"/>
      <c r="CI40" s="25"/>
    </row>
    <row r="41" spans="2:87" ht="13.95" customHeight="1" x14ac:dyDescent="0.3">
      <c r="I41" s="2"/>
      <c r="J41" s="2" t="s">
        <v>53</v>
      </c>
      <c r="K41" s="2"/>
      <c r="L41" s="190"/>
      <c r="M41" s="190"/>
      <c r="N41" s="190"/>
      <c r="P41" s="183"/>
      <c r="Q41" s="183"/>
      <c r="R41" s="183"/>
      <c r="S41" s="4"/>
      <c r="T41" s="183"/>
      <c r="U41" s="183"/>
      <c r="V41" s="183"/>
      <c r="W41" s="4"/>
      <c r="X41" s="183"/>
      <c r="Y41" s="183"/>
      <c r="Z41" s="183"/>
      <c r="AB41" s="183"/>
      <c r="AC41" s="183"/>
      <c r="AD41" s="183"/>
      <c r="AE41" s="4"/>
      <c r="AF41" s="28"/>
      <c r="AG41" s="28"/>
      <c r="AH41" s="28"/>
      <c r="AI41" s="4"/>
      <c r="AJ41" s="4"/>
      <c r="AL41" s="93">
        <f>SUM(AL42:AL47)</f>
        <v>0</v>
      </c>
      <c r="AM41" s="89">
        <f>SUM(AM42:AM47)</f>
        <v>0</v>
      </c>
      <c r="AN41" s="10" t="s">
        <v>12</v>
      </c>
      <c r="AV41" s="86"/>
      <c r="AW41" s="86" t="s">
        <v>109</v>
      </c>
      <c r="AX41" s="85" t="s">
        <v>406</v>
      </c>
      <c r="BL41" s="25"/>
      <c r="BM41" s="25"/>
      <c r="BN41" s="25"/>
      <c r="BO41" s="25"/>
      <c r="BP41" s="25"/>
      <c r="BQ41" s="25"/>
      <c r="BR41" s="25"/>
      <c r="BS41" s="25"/>
      <c r="BT41" s="25"/>
      <c r="BU41" s="25"/>
      <c r="BV41" s="25"/>
      <c r="BW41" s="25"/>
      <c r="BX41" s="25"/>
      <c r="BY41" s="25"/>
      <c r="BZ41" s="25"/>
      <c r="CA41" s="25"/>
      <c r="CB41" s="25"/>
      <c r="CC41" s="25"/>
      <c r="CD41" s="25"/>
      <c r="CE41" s="25"/>
      <c r="CF41" s="25"/>
      <c r="CG41" s="25"/>
      <c r="CH41" s="25"/>
      <c r="CI41" s="25"/>
    </row>
    <row r="42" spans="2:87" ht="13.95" customHeight="1" x14ac:dyDescent="0.3">
      <c r="D42" s="224" t="s">
        <v>299</v>
      </c>
      <c r="E42" s="224"/>
      <c r="F42" s="193">
        <f>Tables!$F$16</f>
        <v>6.02</v>
      </c>
      <c r="G42" s="193"/>
      <c r="H42" s="28"/>
      <c r="J42" s="2" t="str">
        <f>Tables!$D$16</f>
        <v>(2-yr)</v>
      </c>
      <c r="K42" s="2"/>
      <c r="L42" s="180"/>
      <c r="M42" s="180"/>
      <c r="N42" s="180"/>
      <c r="P42" s="180"/>
      <c r="Q42" s="180"/>
      <c r="R42" s="180"/>
      <c r="S42" s="4"/>
      <c r="T42" s="180"/>
      <c r="U42" s="180"/>
      <c r="V42" s="180"/>
      <c r="W42" s="4"/>
      <c r="X42" s="180"/>
      <c r="Y42" s="180"/>
      <c r="Z42" s="180"/>
      <c r="AB42" s="180"/>
      <c r="AC42" s="180"/>
      <c r="AD42" s="180"/>
      <c r="AE42" s="4"/>
      <c r="AF42" s="180"/>
      <c r="AG42" s="180"/>
      <c r="AH42" s="180"/>
      <c r="AI42" s="4"/>
      <c r="AJ42" s="4"/>
      <c r="AL42" s="89">
        <f t="shared" ref="AL42:AL47" si="3">IF(AF42=0,0,1)</f>
        <v>0</v>
      </c>
      <c r="AM42" s="89">
        <f t="shared" ref="AM42:AM47" si="4">IF(ISBLANK(AF42),0,1)</f>
        <v>0</v>
      </c>
      <c r="AV42" s="86"/>
      <c r="AW42" s="86"/>
      <c r="AX42" s="85" t="s">
        <v>407</v>
      </c>
      <c r="BL42" s="25"/>
      <c r="BM42" s="25"/>
      <c r="BN42" s="25"/>
      <c r="BO42" s="25"/>
      <c r="BP42" s="25"/>
      <c r="BQ42" s="25"/>
      <c r="BR42" s="25"/>
      <c r="BS42" s="25"/>
      <c r="BT42" s="25"/>
      <c r="BU42" s="25"/>
      <c r="BV42" s="25"/>
      <c r="BW42" s="25"/>
      <c r="BX42" s="25"/>
      <c r="BY42" s="25"/>
      <c r="BZ42" s="25"/>
      <c r="CA42" s="25"/>
      <c r="CB42" s="25"/>
      <c r="CC42" s="25"/>
      <c r="CD42" s="25"/>
      <c r="CE42" s="25"/>
      <c r="CF42" s="25"/>
      <c r="CG42" s="25"/>
      <c r="CH42" s="25"/>
      <c r="CI42" s="25"/>
    </row>
    <row r="43" spans="2:87" ht="13.95" customHeight="1" x14ac:dyDescent="0.3">
      <c r="D43" s="224"/>
      <c r="E43" s="224"/>
      <c r="F43" s="193">
        <f>Tables!$F$17</f>
        <v>7.68</v>
      </c>
      <c r="G43" s="193"/>
      <c r="H43" s="28"/>
      <c r="J43" s="2" t="str">
        <f>Tables!$D$17</f>
        <v>(5-yr)</v>
      </c>
      <c r="K43" s="2"/>
      <c r="L43" s="180"/>
      <c r="M43" s="180"/>
      <c r="N43" s="180"/>
      <c r="P43" s="182"/>
      <c r="Q43" s="182"/>
      <c r="R43" s="182"/>
      <c r="S43" s="4"/>
      <c r="T43" s="182"/>
      <c r="U43" s="182"/>
      <c r="V43" s="182"/>
      <c r="W43" s="4"/>
      <c r="X43" s="182"/>
      <c r="Y43" s="182"/>
      <c r="Z43" s="182"/>
      <c r="AB43" s="182"/>
      <c r="AC43" s="182"/>
      <c r="AD43" s="182"/>
      <c r="AE43" s="4"/>
      <c r="AF43" s="182"/>
      <c r="AG43" s="182"/>
      <c r="AH43" s="182"/>
      <c r="AI43" s="4"/>
      <c r="AJ43" s="4"/>
      <c r="AL43" s="89">
        <f t="shared" si="3"/>
        <v>0</v>
      </c>
      <c r="AM43" s="89">
        <f t="shared" si="4"/>
        <v>0</v>
      </c>
      <c r="AV43" s="86"/>
      <c r="AW43" s="86" t="s">
        <v>107</v>
      </c>
      <c r="AX43" s="85" t="s">
        <v>408</v>
      </c>
      <c r="BL43" s="25"/>
      <c r="BM43" s="25"/>
      <c r="BN43" s="25"/>
      <c r="BO43" s="25"/>
      <c r="BP43" s="25"/>
      <c r="BQ43" s="25"/>
      <c r="BR43" s="25"/>
      <c r="BS43" s="25"/>
      <c r="BT43" s="25"/>
      <c r="BU43" s="25"/>
      <c r="BV43" s="25"/>
      <c r="BW43" s="25"/>
      <c r="BX43" s="25"/>
      <c r="BY43" s="25"/>
      <c r="BZ43" s="25"/>
      <c r="CA43" s="25"/>
      <c r="CB43" s="25"/>
      <c r="CC43" s="25"/>
      <c r="CD43" s="25"/>
      <c r="CE43" s="25"/>
      <c r="CF43" s="25"/>
      <c r="CG43" s="25"/>
      <c r="CH43" s="25"/>
      <c r="CI43" s="25"/>
    </row>
    <row r="44" spans="2:87" ht="13.95" customHeight="1" x14ac:dyDescent="0.3">
      <c r="D44" s="224"/>
      <c r="E44" s="224"/>
      <c r="F44" s="193">
        <f>Tables!$F$18</f>
        <v>9.26</v>
      </c>
      <c r="G44" s="193"/>
      <c r="H44" s="28"/>
      <c r="J44" s="2" t="str">
        <f>Tables!$D$18</f>
        <v>(10-yr)</v>
      </c>
      <c r="K44" s="2"/>
      <c r="L44" s="180"/>
      <c r="M44" s="180"/>
      <c r="N44" s="180"/>
      <c r="P44" s="182"/>
      <c r="Q44" s="182"/>
      <c r="R44" s="182"/>
      <c r="S44" s="4"/>
      <c r="T44" s="182"/>
      <c r="U44" s="182"/>
      <c r="V44" s="182"/>
      <c r="W44" s="4"/>
      <c r="X44" s="182"/>
      <c r="Y44" s="182"/>
      <c r="Z44" s="182"/>
      <c r="AB44" s="182"/>
      <c r="AC44" s="182"/>
      <c r="AD44" s="182"/>
      <c r="AE44" s="4"/>
      <c r="AF44" s="182"/>
      <c r="AG44" s="182"/>
      <c r="AH44" s="182"/>
      <c r="AI44" s="4"/>
      <c r="AJ44" s="4"/>
      <c r="AL44" s="89">
        <f t="shared" si="3"/>
        <v>0</v>
      </c>
      <c r="AM44" s="89">
        <f t="shared" si="4"/>
        <v>0</v>
      </c>
      <c r="AV44" s="86"/>
      <c r="AW44" s="86" t="s">
        <v>110</v>
      </c>
      <c r="AX44" s="85" t="s">
        <v>410</v>
      </c>
      <c r="BL44" s="25"/>
      <c r="BM44" s="25"/>
      <c r="BN44" s="25"/>
      <c r="BO44" s="25"/>
      <c r="BP44" s="25"/>
      <c r="BQ44" s="25"/>
      <c r="BR44" s="25"/>
      <c r="BS44" s="25"/>
      <c r="BT44" s="25"/>
      <c r="BU44" s="25"/>
      <c r="BV44" s="25"/>
      <c r="BW44" s="25"/>
      <c r="BX44" s="25"/>
      <c r="BY44" s="25"/>
      <c r="BZ44" s="25"/>
      <c r="CA44" s="25"/>
      <c r="CB44" s="25"/>
      <c r="CC44" s="25"/>
      <c r="CD44" s="25"/>
      <c r="CE44" s="25"/>
      <c r="CF44" s="25"/>
      <c r="CG44" s="25"/>
      <c r="CH44" s="25"/>
      <c r="CI44" s="25"/>
    </row>
    <row r="45" spans="2:87" ht="13.95" customHeight="1" x14ac:dyDescent="0.3">
      <c r="D45" s="224"/>
      <c r="E45" s="224"/>
      <c r="F45" s="193">
        <f>Tables!$F$19</f>
        <v>11.7</v>
      </c>
      <c r="G45" s="193"/>
      <c r="H45" s="28"/>
      <c r="J45" s="2" t="str">
        <f>Tables!$D$19</f>
        <v>(25-yr)</v>
      </c>
      <c r="K45" s="2"/>
      <c r="L45" s="180"/>
      <c r="M45" s="180"/>
      <c r="N45" s="180"/>
      <c r="P45" s="182"/>
      <c r="Q45" s="182"/>
      <c r="R45" s="182"/>
      <c r="S45" s="4"/>
      <c r="T45" s="182"/>
      <c r="U45" s="182"/>
      <c r="V45" s="182"/>
      <c r="W45" s="4"/>
      <c r="X45" s="182"/>
      <c r="Y45" s="182"/>
      <c r="Z45" s="182"/>
      <c r="AB45" s="182"/>
      <c r="AC45" s="182"/>
      <c r="AD45" s="182"/>
      <c r="AE45" s="4"/>
      <c r="AF45" s="182"/>
      <c r="AG45" s="182"/>
      <c r="AH45" s="182"/>
      <c r="AI45" s="4"/>
      <c r="AJ45" s="4"/>
      <c r="AL45" s="89">
        <f t="shared" si="3"/>
        <v>0</v>
      </c>
      <c r="AM45" s="89">
        <f t="shared" si="4"/>
        <v>0</v>
      </c>
      <c r="AV45" s="86"/>
      <c r="AW45" s="86"/>
      <c r="AX45" s="85" t="s">
        <v>411</v>
      </c>
      <c r="BE45" s="25"/>
      <c r="BF45" s="25"/>
      <c r="BG45" s="25"/>
      <c r="BH45" s="25"/>
      <c r="BI45" s="25"/>
      <c r="BJ45" s="25"/>
      <c r="BK45" s="25"/>
      <c r="BL45" s="25"/>
      <c r="BM45" s="25"/>
      <c r="BN45" s="25"/>
      <c r="BO45" s="25"/>
      <c r="BP45" s="25"/>
      <c r="BQ45" s="25"/>
      <c r="BR45" s="25"/>
      <c r="BS45" s="25"/>
      <c r="BT45" s="25"/>
      <c r="BU45" s="25"/>
      <c r="BV45" s="25"/>
      <c r="BW45" s="25"/>
      <c r="BX45" s="25"/>
      <c r="BY45" s="25"/>
      <c r="BZ45" s="25"/>
      <c r="CA45" s="25"/>
      <c r="CB45" s="25"/>
      <c r="CC45" s="25"/>
      <c r="CD45" s="25"/>
      <c r="CE45" s="25"/>
      <c r="CF45" s="25"/>
      <c r="CG45" s="25"/>
      <c r="CH45" s="25"/>
      <c r="CI45" s="25"/>
    </row>
    <row r="46" spans="2:87" ht="13.95" customHeight="1" x14ac:dyDescent="0.3">
      <c r="D46" s="224"/>
      <c r="E46" s="224"/>
      <c r="F46" s="193">
        <f>Tables!$F$20</f>
        <v>13.9</v>
      </c>
      <c r="G46" s="193"/>
      <c r="H46" s="28"/>
      <c r="J46" s="2" t="str">
        <f>Tables!$D$20</f>
        <v>(50-yr)</v>
      </c>
      <c r="K46" s="2"/>
      <c r="L46" s="180"/>
      <c r="M46" s="180"/>
      <c r="N46" s="180"/>
      <c r="P46" s="182"/>
      <c r="Q46" s="182"/>
      <c r="R46" s="182"/>
      <c r="S46" s="4"/>
      <c r="T46" s="182"/>
      <c r="U46" s="182"/>
      <c r="V46" s="182"/>
      <c r="W46" s="4"/>
      <c r="X46" s="182"/>
      <c r="Y46" s="182"/>
      <c r="Z46" s="182"/>
      <c r="AB46" s="182"/>
      <c r="AC46" s="182"/>
      <c r="AD46" s="182"/>
      <c r="AE46" s="4"/>
      <c r="AF46" s="182"/>
      <c r="AG46" s="182"/>
      <c r="AH46" s="182"/>
      <c r="AI46" s="4"/>
      <c r="AJ46" s="4"/>
      <c r="AL46" s="89">
        <f t="shared" si="3"/>
        <v>0</v>
      </c>
      <c r="AM46" s="89">
        <f t="shared" si="4"/>
        <v>0</v>
      </c>
      <c r="AX46" s="85" t="s">
        <v>412</v>
      </c>
      <c r="BE46" s="25"/>
      <c r="BF46" s="25"/>
      <c r="BG46" s="25"/>
      <c r="BH46" s="25"/>
      <c r="BI46" s="25"/>
      <c r="BJ46" s="25"/>
      <c r="BK46" s="25"/>
      <c r="BL46" s="25"/>
      <c r="BM46" s="25"/>
      <c r="BN46" s="25"/>
      <c r="BO46" s="25"/>
      <c r="BP46" s="25"/>
      <c r="BQ46" s="25"/>
      <c r="BR46" s="25"/>
      <c r="BS46" s="25"/>
      <c r="BT46" s="25"/>
      <c r="BU46" s="25"/>
      <c r="BV46" s="25"/>
      <c r="BW46" s="25"/>
      <c r="BX46" s="25"/>
      <c r="BY46" s="25"/>
      <c r="BZ46" s="25"/>
      <c r="CA46" s="25"/>
      <c r="CB46" s="25"/>
      <c r="CC46" s="25"/>
      <c r="CD46" s="25"/>
      <c r="CE46" s="25"/>
      <c r="CF46" s="25"/>
      <c r="CG46" s="25"/>
      <c r="CH46" s="25"/>
      <c r="CI46" s="25"/>
    </row>
    <row r="47" spans="2:87" ht="13.95" customHeight="1" x14ac:dyDescent="0.3">
      <c r="D47" s="224"/>
      <c r="E47" s="224"/>
      <c r="F47" s="193">
        <f>Tables!$F$21</f>
        <v>16.3</v>
      </c>
      <c r="G47" s="193"/>
      <c r="H47" s="28"/>
      <c r="J47" s="2" t="str">
        <f>Tables!$D$21</f>
        <v>(100-yr)</v>
      </c>
      <c r="K47" s="2"/>
      <c r="L47" s="180"/>
      <c r="M47" s="180"/>
      <c r="N47" s="180"/>
      <c r="P47" s="182"/>
      <c r="Q47" s="182"/>
      <c r="R47" s="182"/>
      <c r="S47" s="4"/>
      <c r="T47" s="182"/>
      <c r="U47" s="182"/>
      <c r="V47" s="182"/>
      <c r="W47" s="4"/>
      <c r="X47" s="182"/>
      <c r="Y47" s="182"/>
      <c r="Z47" s="182"/>
      <c r="AB47" s="182"/>
      <c r="AC47" s="182"/>
      <c r="AD47" s="182"/>
      <c r="AE47" s="4"/>
      <c r="AF47" s="182"/>
      <c r="AG47" s="182"/>
      <c r="AH47" s="182"/>
      <c r="AI47" s="4"/>
      <c r="AJ47" s="4"/>
      <c r="AL47" s="89">
        <f t="shared" si="3"/>
        <v>0</v>
      </c>
      <c r="AM47" s="89">
        <f t="shared" si="4"/>
        <v>0</v>
      </c>
      <c r="AV47" s="86">
        <f>AV32+1</f>
        <v>10</v>
      </c>
      <c r="AW47" s="85" t="s">
        <v>228</v>
      </c>
      <c r="BE47" s="25"/>
      <c r="BF47" s="25"/>
      <c r="BG47" s="25"/>
      <c r="BH47" s="25"/>
      <c r="BI47" s="25"/>
      <c r="BJ47" s="25"/>
      <c r="BK47" s="25"/>
      <c r="BL47" s="25"/>
      <c r="BM47" s="25"/>
      <c r="BN47" s="25"/>
      <c r="BO47" s="25"/>
      <c r="BP47" s="25"/>
      <c r="BQ47" s="25"/>
      <c r="BR47" s="25"/>
      <c r="BS47" s="25"/>
      <c r="BT47" s="25"/>
      <c r="BU47" s="25"/>
      <c r="BV47" s="25"/>
      <c r="BW47" s="25"/>
      <c r="BX47" s="25"/>
      <c r="BY47" s="25"/>
      <c r="BZ47" s="25"/>
      <c r="CA47" s="25"/>
      <c r="CB47" s="25"/>
      <c r="CC47" s="25"/>
      <c r="CD47" s="25"/>
      <c r="CE47" s="25"/>
      <c r="CF47" s="25"/>
      <c r="CG47" s="25"/>
      <c r="CH47" s="25"/>
      <c r="CI47" s="25"/>
    </row>
    <row r="48" spans="2:87" ht="15" customHeight="1" x14ac:dyDescent="0.3">
      <c r="AK48" s="28"/>
      <c r="AV48" s="86"/>
      <c r="AW48" s="86" t="s">
        <v>94</v>
      </c>
      <c r="AX48" s="85" t="s">
        <v>413</v>
      </c>
      <c r="BE48" s="25"/>
      <c r="BF48" s="25"/>
      <c r="BG48" s="25"/>
      <c r="BH48" s="25"/>
      <c r="BI48" s="25"/>
      <c r="BJ48" s="25"/>
      <c r="BK48" s="25"/>
      <c r="BL48" s="25"/>
      <c r="BM48" s="25"/>
      <c r="BN48" s="25"/>
      <c r="BO48" s="25"/>
      <c r="BP48" s="25"/>
      <c r="BQ48" s="25"/>
      <c r="BR48" s="25"/>
      <c r="BS48" s="25"/>
      <c r="BT48" s="25"/>
      <c r="BU48" s="25"/>
      <c r="BV48" s="25"/>
      <c r="BW48" s="25"/>
      <c r="BX48" s="25"/>
      <c r="BY48" s="25"/>
      <c r="BZ48" s="25"/>
      <c r="CA48" s="25"/>
      <c r="CB48" s="25"/>
      <c r="CC48" s="25"/>
      <c r="CD48" s="25"/>
      <c r="CE48" s="25"/>
      <c r="CF48" s="25"/>
      <c r="CG48" s="25"/>
      <c r="CH48" s="25"/>
      <c r="CI48" s="25"/>
    </row>
    <row r="49" spans="2:87" ht="15" customHeight="1" x14ac:dyDescent="0.3">
      <c r="AK49" s="28"/>
      <c r="AW49" s="86" t="s">
        <v>95</v>
      </c>
      <c r="AX49" s="85" t="s">
        <v>414</v>
      </c>
      <c r="BE49" s="25"/>
      <c r="BF49" s="25"/>
      <c r="BG49" s="25"/>
      <c r="BH49" s="25"/>
      <c r="BI49" s="25"/>
      <c r="BJ49" s="25"/>
      <c r="BK49" s="25"/>
      <c r="BL49" s="25"/>
      <c r="BM49" s="25"/>
      <c r="BN49" s="25"/>
      <c r="BO49" s="25"/>
      <c r="BP49" s="25"/>
      <c r="BQ49" s="25"/>
      <c r="BR49" s="25"/>
      <c r="BS49" s="25"/>
      <c r="BT49" s="25"/>
      <c r="BU49" s="25"/>
      <c r="BV49" s="25"/>
      <c r="BW49" s="25"/>
      <c r="BX49" s="25"/>
      <c r="BY49" s="25"/>
      <c r="BZ49" s="25"/>
      <c r="CA49" s="25"/>
      <c r="CB49" s="25"/>
      <c r="CC49" s="25"/>
      <c r="CD49" s="25"/>
      <c r="CE49" s="25"/>
      <c r="CF49" s="25"/>
      <c r="CG49" s="25"/>
      <c r="CH49" s="25"/>
      <c r="CI49" s="25"/>
    </row>
    <row r="50" spans="2:87" ht="15" customHeight="1" x14ac:dyDescent="0.3">
      <c r="AK50" s="28"/>
      <c r="AW50" s="86" t="s">
        <v>108</v>
      </c>
      <c r="AX50" s="85" t="s">
        <v>415</v>
      </c>
      <c r="BE50" s="25"/>
      <c r="BF50" s="25"/>
      <c r="BG50" s="25"/>
      <c r="BH50" s="25"/>
      <c r="BI50" s="25"/>
      <c r="BJ50" s="25"/>
      <c r="BK50" s="25"/>
      <c r="BL50" s="25"/>
      <c r="BM50" s="25"/>
      <c r="BN50" s="25"/>
      <c r="BO50" s="25"/>
      <c r="BP50" s="25"/>
      <c r="BQ50" s="25"/>
      <c r="BR50" s="25"/>
      <c r="BS50" s="25"/>
      <c r="BT50" s="25"/>
      <c r="BU50" s="25"/>
      <c r="BV50" s="25"/>
      <c r="BW50" s="25"/>
      <c r="BX50" s="25"/>
      <c r="BY50" s="25"/>
      <c r="BZ50" s="25"/>
      <c r="CA50" s="25"/>
      <c r="CB50" s="25"/>
      <c r="CC50" s="25"/>
      <c r="CD50" s="25"/>
      <c r="CE50" s="25"/>
      <c r="CF50" s="25"/>
      <c r="CG50" s="25"/>
      <c r="CH50" s="25"/>
      <c r="CI50" s="25"/>
    </row>
    <row r="51" spans="2:87" ht="15" customHeight="1" x14ac:dyDescent="0.3">
      <c r="AK51" s="28"/>
      <c r="AW51" s="86" t="s">
        <v>109</v>
      </c>
      <c r="AX51" s="85" t="s">
        <v>416</v>
      </c>
      <c r="BE51" s="25"/>
      <c r="BF51" s="25"/>
      <c r="BG51" s="25"/>
      <c r="BH51" s="25"/>
      <c r="BI51" s="25"/>
      <c r="BJ51" s="25"/>
      <c r="BK51" s="25"/>
      <c r="BL51" s="25"/>
      <c r="BM51" s="25"/>
      <c r="BN51" s="25"/>
      <c r="BO51" s="25"/>
      <c r="BP51" s="25"/>
      <c r="BQ51" s="25"/>
      <c r="BR51" s="25"/>
      <c r="BS51" s="25"/>
      <c r="BT51" s="25"/>
      <c r="BU51" s="25"/>
      <c r="BV51" s="25"/>
      <c r="BW51" s="25"/>
      <c r="BX51" s="25"/>
      <c r="BY51" s="25"/>
      <c r="BZ51" s="25"/>
      <c r="CA51" s="25"/>
      <c r="CB51" s="25"/>
      <c r="CC51" s="25"/>
      <c r="CD51" s="25"/>
      <c r="CE51" s="25"/>
      <c r="CF51" s="25"/>
      <c r="CG51" s="25"/>
      <c r="CH51" s="25"/>
      <c r="CI51" s="25"/>
    </row>
    <row r="52" spans="2:87" ht="15" customHeight="1" x14ac:dyDescent="0.3">
      <c r="AK52" s="28"/>
      <c r="AW52" s="86" t="s">
        <v>107</v>
      </c>
      <c r="AX52" s="85" t="s">
        <v>417</v>
      </c>
      <c r="BE52" s="25"/>
      <c r="BF52" s="25"/>
      <c r="BG52" s="25"/>
      <c r="BH52" s="25"/>
      <c r="BI52" s="25"/>
      <c r="BJ52" s="25"/>
      <c r="BK52" s="25"/>
      <c r="BL52" s="25"/>
      <c r="BM52" s="25"/>
      <c r="BN52" s="25"/>
      <c r="BO52" s="25"/>
      <c r="BP52" s="25"/>
      <c r="BQ52" s="25"/>
      <c r="BR52" s="25"/>
      <c r="BS52" s="25"/>
      <c r="BT52" s="25"/>
      <c r="BU52" s="25"/>
      <c r="BV52" s="25"/>
      <c r="BW52" s="25"/>
      <c r="BX52" s="25"/>
      <c r="BY52" s="25"/>
      <c r="BZ52" s="25"/>
      <c r="CA52" s="25"/>
      <c r="CB52" s="25"/>
      <c r="CC52" s="25"/>
      <c r="CD52" s="25"/>
      <c r="CE52" s="25"/>
      <c r="CF52" s="25"/>
      <c r="CG52" s="25"/>
      <c r="CH52" s="25"/>
      <c r="CI52" s="25"/>
    </row>
    <row r="53" spans="2:87" ht="15" customHeight="1" x14ac:dyDescent="0.3">
      <c r="J53" s="2"/>
      <c r="K53" s="107"/>
      <c r="N53" s="107"/>
      <c r="V53" s="2"/>
      <c r="W53" s="107"/>
      <c r="Z53" s="107"/>
      <c r="AW53" s="86" t="s">
        <v>110</v>
      </c>
      <c r="AX53" s="85" t="s">
        <v>418</v>
      </c>
      <c r="BE53" s="25"/>
      <c r="BF53" s="25"/>
      <c r="BG53" s="25"/>
      <c r="BH53" s="25"/>
      <c r="BI53" s="25"/>
      <c r="BJ53" s="25"/>
      <c r="BK53" s="25"/>
      <c r="BL53" s="25"/>
      <c r="BM53" s="25"/>
      <c r="BN53" s="25"/>
      <c r="BO53" s="25"/>
      <c r="BP53" s="25"/>
      <c r="BQ53" s="25"/>
      <c r="BR53" s="25"/>
      <c r="BS53" s="25"/>
      <c r="BT53" s="25"/>
      <c r="BU53" s="25"/>
      <c r="BV53" s="25"/>
      <c r="BW53" s="25"/>
      <c r="BX53" s="25"/>
      <c r="BY53" s="25"/>
      <c r="BZ53" s="25"/>
      <c r="CA53" s="25"/>
      <c r="CB53" s="25"/>
      <c r="CC53" s="25"/>
      <c r="CD53" s="25"/>
      <c r="CE53" s="25"/>
      <c r="CF53" s="25"/>
      <c r="CG53" s="25"/>
      <c r="CH53" s="25"/>
      <c r="CI53" s="25"/>
    </row>
    <row r="54" spans="2:87" ht="15" customHeight="1" x14ac:dyDescent="0.3">
      <c r="B54" s="194">
        <f>Tables!$F$13</f>
        <v>45931</v>
      </c>
      <c r="C54" s="194"/>
      <c r="D54" s="194"/>
      <c r="E54" s="194"/>
      <c r="F54" s="194"/>
      <c r="G54" s="194"/>
      <c r="H54" s="194"/>
      <c r="R54" s="195" t="s">
        <v>341</v>
      </c>
      <c r="S54" s="195"/>
      <c r="T54" s="195"/>
      <c r="U54" s="195"/>
      <c r="AK54" s="28"/>
      <c r="AV54" s="21">
        <f>AV47+1</f>
        <v>11</v>
      </c>
      <c r="AW54" s="26" t="s">
        <v>431</v>
      </c>
      <c r="BE54" s="25"/>
      <c r="BF54" s="25"/>
      <c r="BG54" s="25"/>
      <c r="BH54" s="25"/>
      <c r="BI54" s="25"/>
      <c r="BJ54" s="25"/>
      <c r="BK54" s="25"/>
      <c r="BL54" s="25"/>
      <c r="BM54" s="25"/>
      <c r="BN54" s="25"/>
      <c r="BO54" s="25"/>
      <c r="BP54" s="25"/>
      <c r="BQ54" s="25"/>
      <c r="BR54" s="25"/>
      <c r="BS54" s="25"/>
      <c r="BT54" s="25"/>
      <c r="BU54" s="25"/>
      <c r="BV54" s="25"/>
      <c r="BW54" s="25"/>
      <c r="BX54" s="25"/>
      <c r="BY54" s="25"/>
      <c r="BZ54" s="25"/>
      <c r="CA54" s="25"/>
      <c r="CB54" s="25"/>
      <c r="CC54" s="25"/>
      <c r="CD54" s="25"/>
      <c r="CE54" s="25"/>
      <c r="CF54" s="25"/>
      <c r="CG54" s="25"/>
      <c r="CH54" s="25"/>
      <c r="CI54" s="25"/>
    </row>
    <row r="55" spans="2:87" ht="15" customHeight="1" x14ac:dyDescent="0.3">
      <c r="C55" s="2" t="s">
        <v>1</v>
      </c>
      <c r="D55" s="192">
        <f>IF(ISBLANK($E$7),0,$E$7)</f>
        <v>0</v>
      </c>
      <c r="E55" s="192"/>
      <c r="F55" s="192"/>
      <c r="G55" s="192"/>
      <c r="H55" s="192"/>
      <c r="I55" s="192"/>
      <c r="J55" s="192"/>
      <c r="K55" s="192"/>
      <c r="L55" s="192"/>
      <c r="M55" s="192"/>
      <c r="N55" s="192"/>
      <c r="O55" s="192"/>
      <c r="P55" s="192"/>
      <c r="Q55" s="192"/>
      <c r="R55" s="192"/>
      <c r="S55" s="192"/>
      <c r="T55" s="192"/>
      <c r="U55" s="192"/>
      <c r="V55" s="192"/>
      <c r="W55" s="192"/>
      <c r="X55" s="192"/>
      <c r="Y55" s="192"/>
      <c r="AD55" s="2" t="s">
        <v>21</v>
      </c>
      <c r="AE55" s="217">
        <f>IF(ISBLANK($AE$7),0,$AE$7)</f>
        <v>0</v>
      </c>
      <c r="AF55" s="217"/>
      <c r="AG55" s="217"/>
      <c r="AH55" s="217"/>
      <c r="AI55" s="217"/>
      <c r="AJ55" s="217"/>
      <c r="AM55" s="89">
        <f t="shared" ref="AM55" si="5">IF(ISBLANK(AF55),0,1)</f>
        <v>0</v>
      </c>
      <c r="AV55" s="21">
        <f>AV54+1</f>
        <v>12</v>
      </c>
      <c r="AW55" s="26" t="s">
        <v>432</v>
      </c>
      <c r="BE55" s="25"/>
      <c r="BF55" s="25"/>
      <c r="BG55" s="25"/>
      <c r="BH55" s="25"/>
      <c r="BI55" s="25"/>
      <c r="BJ55" s="25"/>
      <c r="BK55" s="25"/>
      <c r="BL55" s="25"/>
      <c r="BM55" s="25"/>
      <c r="BN55" s="25"/>
      <c r="BO55" s="25"/>
      <c r="BP55" s="25"/>
      <c r="BQ55" s="25"/>
      <c r="BR55" s="25"/>
      <c r="BS55" s="25"/>
      <c r="BT55" s="25"/>
      <c r="BU55" s="25"/>
      <c r="BV55" s="25"/>
      <c r="BW55" s="25"/>
      <c r="BX55" s="25"/>
      <c r="BY55" s="25"/>
      <c r="BZ55" s="25"/>
      <c r="CA55" s="25"/>
      <c r="CB55" s="25"/>
      <c r="CC55" s="25"/>
      <c r="CD55" s="25"/>
      <c r="CE55" s="25"/>
      <c r="CF55" s="25"/>
      <c r="CG55" s="25"/>
      <c r="CH55" s="25"/>
      <c r="CI55" s="25"/>
    </row>
    <row r="56" spans="2:87" ht="15" customHeight="1" x14ac:dyDescent="0.3">
      <c r="C56" s="1"/>
      <c r="D56" s="1"/>
      <c r="E56" s="1"/>
      <c r="F56" s="1"/>
      <c r="G56" s="1"/>
      <c r="H56" s="1"/>
      <c r="K56" s="2"/>
      <c r="L56" s="2"/>
      <c r="M56" s="2"/>
      <c r="N56" s="2"/>
      <c r="O56" s="2"/>
      <c r="P56" s="2"/>
      <c r="Q56" s="2"/>
      <c r="R56" s="2"/>
      <c r="S56" s="2"/>
      <c r="T56" s="2"/>
      <c r="U56" s="2"/>
      <c r="V56" s="2"/>
      <c r="W56" s="2"/>
      <c r="X56" s="2"/>
      <c r="Y56" s="2"/>
      <c r="Z56" s="2"/>
      <c r="AA56" s="2"/>
      <c r="AB56" s="2"/>
      <c r="AD56" s="2" t="s">
        <v>34</v>
      </c>
      <c r="AE56" s="216">
        <f>IF(ISBLANK($AE$8),0,$AE$8)</f>
        <v>0</v>
      </c>
      <c r="AF56" s="216"/>
      <c r="AG56" s="216"/>
      <c r="AH56" s="216"/>
      <c r="AI56" s="216"/>
      <c r="AJ56" s="216"/>
      <c r="AK56" s="2"/>
      <c r="AL56" s="66"/>
      <c r="AM56" s="66"/>
      <c r="AN56" s="66"/>
      <c r="AO56" s="66"/>
      <c r="AP56" s="66"/>
      <c r="BE56" s="25"/>
      <c r="BF56" s="25"/>
      <c r="BG56" s="25"/>
      <c r="BH56" s="25"/>
      <c r="BI56" s="25"/>
      <c r="BJ56" s="25"/>
      <c r="BK56" s="25"/>
      <c r="BL56" s="25"/>
      <c r="BM56" s="25"/>
      <c r="BN56" s="25"/>
      <c r="BO56" s="25"/>
      <c r="BP56" s="25"/>
      <c r="BQ56" s="25"/>
      <c r="BR56" s="25"/>
      <c r="BS56" s="25"/>
      <c r="BT56" s="25"/>
      <c r="BU56" s="25"/>
      <c r="BV56" s="25"/>
      <c r="BW56" s="25"/>
      <c r="BX56" s="25"/>
      <c r="BY56" s="25"/>
      <c r="BZ56" s="25"/>
      <c r="CA56" s="25"/>
      <c r="CB56" s="25"/>
      <c r="CC56" s="25"/>
      <c r="CD56" s="25"/>
      <c r="CE56" s="25"/>
      <c r="CF56" s="25"/>
      <c r="CG56" s="25"/>
      <c r="CH56" s="25"/>
      <c r="CI56" s="25"/>
    </row>
    <row r="57" spans="2:87" ht="15" customHeight="1" x14ac:dyDescent="0.3">
      <c r="B57" s="1" t="s">
        <v>550</v>
      </c>
      <c r="AK57" s="2"/>
      <c r="AL57" s="66"/>
      <c r="AN57" s="66"/>
      <c r="AO57" s="66"/>
      <c r="AP57" s="66"/>
    </row>
    <row r="58" spans="2:87" ht="4.95" customHeight="1" x14ac:dyDescent="0.3">
      <c r="AK58" s="2"/>
      <c r="AL58" s="66"/>
      <c r="AN58" s="66"/>
      <c r="AO58" s="66"/>
      <c r="AP58" s="66"/>
    </row>
    <row r="59" spans="2:87" ht="15" customHeight="1" x14ac:dyDescent="0.3">
      <c r="B59" s="9" t="s">
        <v>188</v>
      </c>
      <c r="I59" s="55"/>
      <c r="J59" s="26" t="s">
        <v>189</v>
      </c>
      <c r="L59" s="55"/>
      <c r="M59" s="26" t="s">
        <v>190</v>
      </c>
      <c r="O59" s="55"/>
      <c r="P59" s="26" t="s">
        <v>191</v>
      </c>
      <c r="R59" s="55"/>
      <c r="S59" s="26" t="s">
        <v>192</v>
      </c>
      <c r="AK59" s="2"/>
      <c r="AL59" s="89">
        <f>IF(AND(ISBLANK(I59),ISBLANK(L59),ISBLANK(O59),ISBLANK(R59)),1,2)</f>
        <v>1</v>
      </c>
      <c r="AN59" s="66"/>
      <c r="AO59" s="66"/>
      <c r="AP59" s="66"/>
      <c r="BE59" s="25"/>
      <c r="BF59" s="25"/>
      <c r="BG59" s="25"/>
      <c r="BH59" s="25"/>
      <c r="BI59" s="25"/>
      <c r="BJ59" s="25"/>
      <c r="BK59" s="25"/>
      <c r="BL59" s="25"/>
      <c r="BM59" s="25"/>
      <c r="BN59" s="25"/>
      <c r="BO59" s="25"/>
      <c r="BP59" s="25"/>
      <c r="BQ59" s="25"/>
      <c r="BR59" s="25"/>
      <c r="BS59" s="25"/>
      <c r="BT59" s="25"/>
      <c r="BU59" s="25"/>
      <c r="BV59" s="25"/>
      <c r="BW59" s="25"/>
      <c r="BX59" s="25"/>
      <c r="BY59" s="25"/>
      <c r="BZ59" s="25"/>
      <c r="CA59" s="25"/>
      <c r="CB59" s="25"/>
      <c r="CC59" s="25"/>
      <c r="CD59" s="25"/>
      <c r="CE59" s="25"/>
      <c r="CF59" s="25"/>
      <c r="CG59" s="25"/>
      <c r="CH59" s="25"/>
      <c r="CI59" s="25"/>
    </row>
    <row r="60" spans="2:87" ht="4.95" customHeight="1" x14ac:dyDescent="0.3">
      <c r="AK60" s="2"/>
      <c r="AN60" s="66"/>
      <c r="AO60" s="66"/>
      <c r="AP60" s="66"/>
      <c r="AV60" s="86"/>
      <c r="BE60" s="25"/>
      <c r="BF60" s="25"/>
      <c r="BG60" s="25"/>
      <c r="BH60" s="25"/>
      <c r="BI60" s="25"/>
      <c r="BJ60" s="25"/>
      <c r="BK60" s="25"/>
      <c r="BL60" s="25"/>
      <c r="BM60" s="25"/>
      <c r="BN60" s="25"/>
      <c r="BO60" s="25"/>
      <c r="BP60" s="25"/>
      <c r="BQ60" s="25"/>
      <c r="BR60" s="25"/>
      <c r="BS60" s="25"/>
      <c r="BT60" s="25"/>
      <c r="BU60" s="25"/>
      <c r="BV60" s="25"/>
      <c r="BW60" s="25"/>
      <c r="BX60" s="25"/>
      <c r="BY60" s="25"/>
      <c r="BZ60" s="25"/>
      <c r="CA60" s="25"/>
      <c r="CB60" s="25"/>
      <c r="CC60" s="25"/>
      <c r="CD60" s="25"/>
      <c r="CE60" s="25"/>
      <c r="CF60" s="25"/>
      <c r="CG60" s="25"/>
      <c r="CH60" s="25"/>
      <c r="CI60" s="25"/>
    </row>
    <row r="61" spans="2:87" ht="15" customHeight="1" x14ac:dyDescent="0.3">
      <c r="C61" s="2" t="s">
        <v>451</v>
      </c>
      <c r="D61" s="55"/>
      <c r="E61" s="26" t="s">
        <v>375</v>
      </c>
      <c r="K61" s="55"/>
      <c r="L61" s="26" t="s">
        <v>376</v>
      </c>
      <c r="R61" s="55"/>
      <c r="S61" s="26" t="s">
        <v>447</v>
      </c>
      <c r="AA61" s="55"/>
      <c r="AB61" s="26" t="s">
        <v>382</v>
      </c>
      <c r="AK61" s="2"/>
      <c r="AL61" s="89">
        <f>IF(AND(ISBLANK(D61),ISBLANK(K61),ISBLANK(R61),ISBLANK(AA61),ISBLANK(AA63),ISBLANK(D63)),1,2)</f>
        <v>1</v>
      </c>
      <c r="AN61" s="66"/>
      <c r="AO61" s="66"/>
      <c r="AP61" s="66"/>
      <c r="BE61" s="25"/>
      <c r="BF61" s="25"/>
      <c r="BG61" s="25"/>
      <c r="BH61" s="25"/>
      <c r="BI61" s="25"/>
      <c r="BJ61" s="25"/>
      <c r="BK61" s="25"/>
      <c r="BL61" s="25"/>
      <c r="BM61" s="25"/>
      <c r="BN61" s="25"/>
      <c r="BO61" s="25"/>
      <c r="BP61" s="25"/>
      <c r="BQ61" s="25"/>
      <c r="BR61" s="25"/>
      <c r="BS61" s="25"/>
      <c r="BT61" s="25"/>
      <c r="BU61" s="25"/>
      <c r="BV61" s="25"/>
      <c r="BW61" s="25"/>
      <c r="BX61" s="25"/>
      <c r="BY61" s="25"/>
      <c r="BZ61" s="25"/>
      <c r="CA61" s="25"/>
      <c r="CB61" s="25"/>
      <c r="CC61" s="25"/>
      <c r="CD61" s="25"/>
      <c r="CE61" s="25"/>
      <c r="CF61" s="25"/>
      <c r="CG61" s="25"/>
      <c r="CH61" s="25"/>
      <c r="CI61" s="25"/>
    </row>
    <row r="62" spans="2:87" ht="4.95" customHeight="1" x14ac:dyDescent="0.3">
      <c r="AK62" s="2"/>
      <c r="AN62" s="66"/>
      <c r="AO62" s="66"/>
      <c r="AP62" s="66"/>
      <c r="BE62" s="25"/>
      <c r="BF62" s="25"/>
      <c r="BG62" s="25"/>
      <c r="BH62" s="25"/>
      <c r="BI62" s="25"/>
      <c r="BJ62" s="25"/>
      <c r="BK62" s="25"/>
      <c r="BL62" s="25"/>
      <c r="BM62" s="25"/>
      <c r="BN62" s="25"/>
      <c r="BO62" s="25"/>
      <c r="BP62" s="25"/>
      <c r="BQ62" s="25"/>
      <c r="BR62" s="25"/>
      <c r="BS62" s="25"/>
      <c r="BT62" s="25"/>
      <c r="BU62" s="25"/>
      <c r="BV62" s="25"/>
      <c r="BW62" s="25"/>
      <c r="BX62" s="25"/>
      <c r="BY62" s="25"/>
      <c r="BZ62" s="25"/>
      <c r="CA62" s="25"/>
      <c r="CB62" s="25"/>
      <c r="CC62" s="25"/>
      <c r="CD62" s="25"/>
      <c r="CE62" s="25"/>
      <c r="CF62" s="25"/>
      <c r="CG62" s="25"/>
      <c r="CH62" s="25"/>
      <c r="CI62" s="25"/>
    </row>
    <row r="63" spans="2:87" ht="15" customHeight="1" x14ac:dyDescent="0.3">
      <c r="D63" s="55"/>
      <c r="E63" s="26" t="s">
        <v>448</v>
      </c>
      <c r="R63" s="55"/>
      <c r="S63" s="26" t="s">
        <v>449</v>
      </c>
      <c r="AA63" s="55"/>
      <c r="AB63" s="26" t="s">
        <v>378</v>
      </c>
      <c r="AD63" s="225"/>
      <c r="AE63" s="225"/>
      <c r="AF63" s="225"/>
      <c r="AG63" s="225"/>
      <c r="AH63" s="225"/>
      <c r="AI63" s="225"/>
      <c r="AJ63" s="225"/>
      <c r="AK63" s="2"/>
      <c r="AL63" s="89">
        <f>IF(ISBLANK(AA63),1,2)</f>
        <v>1</v>
      </c>
      <c r="AN63" s="66"/>
      <c r="AO63" s="66"/>
      <c r="AP63" s="66"/>
      <c r="BE63" s="25"/>
      <c r="BF63" s="25"/>
      <c r="BG63" s="25"/>
      <c r="BH63" s="25"/>
      <c r="BI63" s="25"/>
      <c r="BJ63" s="25"/>
      <c r="BK63" s="25"/>
      <c r="BL63" s="25"/>
      <c r="BM63" s="25"/>
      <c r="BN63" s="25"/>
      <c r="BO63" s="25"/>
      <c r="BP63" s="25"/>
      <c r="BQ63" s="25"/>
      <c r="BR63" s="25"/>
      <c r="BS63" s="25"/>
      <c r="BT63" s="25"/>
      <c r="BU63" s="25"/>
      <c r="BV63" s="25"/>
      <c r="BW63" s="25"/>
      <c r="BX63" s="25"/>
      <c r="BY63" s="25"/>
      <c r="BZ63" s="25"/>
      <c r="CA63" s="25"/>
      <c r="CB63" s="25"/>
      <c r="CC63" s="25"/>
      <c r="CD63" s="25"/>
      <c r="CE63" s="25"/>
      <c r="CF63" s="25"/>
      <c r="CG63" s="25"/>
      <c r="CH63" s="25"/>
      <c r="CI63" s="25"/>
    </row>
    <row r="64" spans="2:87" ht="4.95" customHeight="1" x14ac:dyDescent="0.3">
      <c r="AK64" s="2"/>
      <c r="AN64" s="66"/>
      <c r="AO64" s="66"/>
      <c r="AP64" s="66"/>
      <c r="BE64" s="25"/>
      <c r="BF64" s="25"/>
      <c r="BG64" s="25"/>
      <c r="BH64" s="25"/>
      <c r="BI64" s="25"/>
      <c r="BJ64" s="25"/>
      <c r="BK64" s="25"/>
      <c r="BL64" s="25"/>
      <c r="BM64" s="25"/>
      <c r="BN64" s="25"/>
      <c r="BO64" s="25"/>
      <c r="BP64" s="25"/>
      <c r="BQ64" s="25"/>
      <c r="BR64" s="25"/>
      <c r="BS64" s="25"/>
      <c r="BT64" s="25"/>
      <c r="BU64" s="25"/>
      <c r="BV64" s="25"/>
      <c r="BW64" s="25"/>
      <c r="BX64" s="25"/>
      <c r="BY64" s="25"/>
      <c r="BZ64" s="25"/>
      <c r="CA64" s="25"/>
      <c r="CB64" s="25"/>
      <c r="CC64" s="25"/>
      <c r="CD64" s="25"/>
      <c r="CE64" s="25"/>
      <c r="CF64" s="25"/>
      <c r="CG64" s="25"/>
      <c r="CH64" s="25"/>
      <c r="CI64" s="25"/>
    </row>
    <row r="65" spans="2:87" ht="15" customHeight="1" x14ac:dyDescent="0.3">
      <c r="C65" s="2" t="s">
        <v>450</v>
      </c>
      <c r="D65" s="55"/>
      <c r="E65" s="26" t="s">
        <v>379</v>
      </c>
      <c r="K65" s="55"/>
      <c r="L65" s="26" t="s">
        <v>380</v>
      </c>
      <c r="R65" s="55"/>
      <c r="S65" s="26" t="s">
        <v>381</v>
      </c>
      <c r="AA65" s="55"/>
      <c r="AB65" s="26" t="s">
        <v>377</v>
      </c>
      <c r="AK65" s="2"/>
      <c r="AL65" s="89">
        <f>IF(AND(ISBLANK(D65),ISBLANK(K65),ISBLANK(R65),ISBLANK(AA65),ISBLANK(D67)),1,2)</f>
        <v>1</v>
      </c>
      <c r="AN65" s="66"/>
      <c r="AO65" s="66"/>
      <c r="AP65" s="66"/>
      <c r="BE65" s="25"/>
      <c r="BF65" s="25"/>
      <c r="BG65" s="25"/>
      <c r="BH65" s="25"/>
      <c r="BI65" s="25"/>
      <c r="BJ65" s="25"/>
      <c r="BK65" s="25"/>
      <c r="BL65" s="25"/>
      <c r="BM65" s="25"/>
      <c r="BN65" s="25"/>
      <c r="BO65" s="25"/>
      <c r="BP65" s="25"/>
      <c r="BQ65" s="25"/>
      <c r="BR65" s="25"/>
      <c r="BS65" s="25"/>
      <c r="BT65" s="25"/>
      <c r="BU65" s="25"/>
      <c r="BV65" s="25"/>
      <c r="BW65" s="25"/>
      <c r="BX65" s="25"/>
      <c r="BY65" s="25"/>
      <c r="BZ65" s="25"/>
      <c r="CA65" s="25"/>
      <c r="CB65" s="25"/>
      <c r="CC65" s="25"/>
      <c r="CD65" s="25"/>
      <c r="CE65" s="25"/>
      <c r="CF65" s="25"/>
      <c r="CG65" s="25"/>
      <c r="CH65" s="25"/>
      <c r="CI65" s="25"/>
    </row>
    <row r="66" spans="2:87" ht="4.95" customHeight="1" x14ac:dyDescent="0.3">
      <c r="AK66" s="2"/>
      <c r="AN66" s="66"/>
      <c r="AO66" s="66"/>
      <c r="AP66" s="66"/>
      <c r="BE66" s="25"/>
      <c r="BF66" s="25"/>
      <c r="BG66" s="25"/>
      <c r="BH66" s="25"/>
      <c r="BI66" s="25"/>
      <c r="BJ66" s="25"/>
      <c r="BK66" s="25"/>
      <c r="BL66" s="25"/>
      <c r="BM66" s="25"/>
      <c r="BN66" s="25"/>
      <c r="BO66" s="25"/>
      <c r="BP66" s="25"/>
      <c r="BQ66" s="25"/>
      <c r="BR66" s="25"/>
      <c r="BS66" s="25"/>
      <c r="BT66" s="25"/>
      <c r="BU66" s="25"/>
      <c r="BV66" s="25"/>
      <c r="BW66" s="25"/>
      <c r="BX66" s="25"/>
      <c r="BY66" s="25"/>
      <c r="BZ66" s="25"/>
      <c r="CA66" s="25"/>
      <c r="CB66" s="25"/>
      <c r="CC66" s="25"/>
      <c r="CD66" s="25"/>
      <c r="CE66" s="25"/>
      <c r="CF66" s="25"/>
      <c r="CG66" s="25"/>
      <c r="CH66" s="25"/>
      <c r="CI66" s="25"/>
    </row>
    <row r="67" spans="2:87" ht="15" customHeight="1" x14ac:dyDescent="0.3">
      <c r="D67" s="55"/>
      <c r="E67" s="26" t="s">
        <v>378</v>
      </c>
      <c r="G67" s="179"/>
      <c r="H67" s="179"/>
      <c r="I67" s="179"/>
      <c r="J67" s="179"/>
      <c r="K67" s="179"/>
      <c r="L67" s="179"/>
      <c r="M67" s="179"/>
      <c r="N67" s="179"/>
      <c r="O67" s="179"/>
      <c r="P67" s="179"/>
      <c r="Q67" s="179"/>
      <c r="R67" s="179"/>
      <c r="S67" s="179"/>
      <c r="T67" s="179"/>
      <c r="AK67" s="2"/>
      <c r="AL67" s="89">
        <f>IF(ISBLANK(D67),1,2)</f>
        <v>1</v>
      </c>
      <c r="AN67" s="66"/>
      <c r="AO67" s="66"/>
      <c r="AP67" s="66"/>
      <c r="BE67" s="25"/>
      <c r="BF67" s="25"/>
      <c r="BG67" s="25"/>
      <c r="BH67" s="25"/>
      <c r="BI67" s="25"/>
      <c r="BJ67" s="25"/>
      <c r="BK67" s="25"/>
      <c r="BL67" s="25"/>
      <c r="BM67" s="25"/>
      <c r="BN67" s="25"/>
      <c r="BO67" s="25"/>
      <c r="BP67" s="25"/>
      <c r="BQ67" s="25"/>
      <c r="BR67" s="25"/>
      <c r="BS67" s="25"/>
      <c r="BT67" s="25"/>
      <c r="BU67" s="25"/>
      <c r="BV67" s="25"/>
      <c r="BW67" s="25"/>
      <c r="BX67" s="25"/>
      <c r="BY67" s="25"/>
      <c r="BZ67" s="25"/>
      <c r="CA67" s="25"/>
      <c r="CB67" s="25"/>
      <c r="CC67" s="25"/>
      <c r="CD67" s="25"/>
      <c r="CE67" s="25"/>
      <c r="CF67" s="25"/>
      <c r="CG67" s="25"/>
      <c r="CH67" s="25"/>
      <c r="CI67" s="25"/>
    </row>
    <row r="68" spans="2:87" ht="4.95" customHeight="1" x14ac:dyDescent="0.3">
      <c r="AK68" s="2"/>
      <c r="AN68" s="66"/>
      <c r="AO68" s="66"/>
      <c r="AP68" s="66"/>
      <c r="BE68" s="25"/>
      <c r="BF68" s="25"/>
      <c r="BG68" s="25"/>
      <c r="BH68" s="25"/>
      <c r="BI68" s="25"/>
      <c r="BJ68" s="25"/>
      <c r="BK68" s="25"/>
      <c r="BL68" s="25"/>
      <c r="BM68" s="25"/>
      <c r="BN68" s="25"/>
      <c r="BO68" s="25"/>
      <c r="BP68" s="25"/>
      <c r="BQ68" s="25"/>
      <c r="BR68" s="25"/>
      <c r="BS68" s="25"/>
      <c r="BT68" s="25"/>
      <c r="BU68" s="25"/>
      <c r="BV68" s="25"/>
      <c r="BW68" s="25"/>
      <c r="BX68" s="25"/>
      <c r="BY68" s="25"/>
      <c r="BZ68" s="25"/>
      <c r="CA68" s="25"/>
      <c r="CB68" s="25"/>
      <c r="CC68" s="25"/>
      <c r="CD68" s="25"/>
      <c r="CE68" s="25"/>
      <c r="CF68" s="25"/>
      <c r="CG68" s="25"/>
      <c r="CH68" s="25"/>
      <c r="CI68" s="25"/>
    </row>
    <row r="69" spans="2:87" ht="15" customHeight="1" x14ac:dyDescent="0.3">
      <c r="B69" s="26" t="s">
        <v>383</v>
      </c>
      <c r="G69" s="190"/>
      <c r="H69" s="190"/>
      <c r="I69" s="190"/>
      <c r="J69" s="26" t="s">
        <v>194</v>
      </c>
      <c r="Z69" s="2" t="s">
        <v>229</v>
      </c>
      <c r="AA69" s="55"/>
      <c r="AB69" s="26" t="s">
        <v>123</v>
      </c>
      <c r="AC69" s="2"/>
      <c r="AD69" s="55"/>
      <c r="AE69" s="26" t="s">
        <v>124</v>
      </c>
      <c r="AK69" s="2"/>
      <c r="AL69" s="89">
        <f>IF(AND(ISBLANK(AA69),ISBLANK(AD69)),1,2)</f>
        <v>1</v>
      </c>
      <c r="AN69" s="66"/>
      <c r="AO69" s="66"/>
      <c r="AP69" s="66"/>
      <c r="BE69" s="25"/>
      <c r="BF69" s="25"/>
      <c r="BG69" s="25"/>
      <c r="BH69" s="25"/>
      <c r="BI69" s="25"/>
      <c r="BJ69" s="25"/>
      <c r="BK69" s="25"/>
      <c r="BL69" s="25"/>
      <c r="BM69" s="25"/>
      <c r="BN69" s="25"/>
      <c r="BO69" s="25"/>
      <c r="BP69" s="25"/>
      <c r="BQ69" s="25"/>
      <c r="BR69" s="25"/>
      <c r="BS69" s="25"/>
      <c r="BT69" s="25"/>
      <c r="BU69" s="25"/>
      <c r="BV69" s="25"/>
      <c r="BW69" s="25"/>
      <c r="BX69" s="25"/>
      <c r="BY69" s="25"/>
      <c r="BZ69" s="25"/>
      <c r="CA69" s="25"/>
      <c r="CB69" s="25"/>
      <c r="CC69" s="25"/>
      <c r="CD69" s="25"/>
      <c r="CE69" s="25"/>
      <c r="CF69" s="25"/>
      <c r="CG69" s="25"/>
      <c r="CH69" s="25"/>
      <c r="CI69" s="25"/>
    </row>
    <row r="70" spans="2:87" ht="4.95" customHeight="1" x14ac:dyDescent="0.3">
      <c r="AK70" s="2"/>
      <c r="AN70" s="66"/>
      <c r="AO70" s="66"/>
      <c r="AP70" s="66"/>
      <c r="AW70" s="86"/>
      <c r="BE70" s="25"/>
      <c r="BF70" s="25"/>
      <c r="BG70" s="25"/>
      <c r="BH70" s="25"/>
      <c r="BI70" s="25"/>
      <c r="BJ70" s="25"/>
      <c r="BK70" s="25"/>
      <c r="BL70" s="25"/>
      <c r="BM70" s="25"/>
      <c r="BN70" s="25"/>
      <c r="BO70" s="25"/>
      <c r="BP70" s="25"/>
      <c r="BQ70" s="25"/>
      <c r="BR70" s="25"/>
      <c r="BS70" s="25"/>
      <c r="BT70" s="25"/>
      <c r="BU70" s="25"/>
      <c r="BV70" s="25"/>
      <c r="BW70" s="25"/>
      <c r="BX70" s="25"/>
      <c r="BY70" s="25"/>
      <c r="BZ70" s="25"/>
      <c r="CA70" s="25"/>
      <c r="CB70" s="25"/>
      <c r="CC70" s="25"/>
      <c r="CD70" s="25"/>
      <c r="CE70" s="25"/>
      <c r="CF70" s="25"/>
      <c r="CG70" s="25"/>
      <c r="CH70" s="25"/>
      <c r="CI70" s="25"/>
    </row>
    <row r="71" spans="2:87" ht="15" customHeight="1" x14ac:dyDescent="0.3">
      <c r="G71" s="2" t="s">
        <v>215</v>
      </c>
      <c r="H71" s="190"/>
      <c r="I71" s="190"/>
      <c r="J71" s="190"/>
      <c r="K71" s="26" t="s">
        <v>35</v>
      </c>
      <c r="S71" s="2" t="s">
        <v>193</v>
      </c>
      <c r="T71" s="190"/>
      <c r="U71" s="190"/>
      <c r="V71" s="190"/>
      <c r="W71" s="26" t="s">
        <v>43</v>
      </c>
      <c r="AB71" s="2" t="s">
        <v>216</v>
      </c>
      <c r="AC71" s="190"/>
      <c r="AD71" s="190"/>
      <c r="AE71" s="190"/>
      <c r="AF71" s="26" t="s">
        <v>217</v>
      </c>
      <c r="AK71" s="2"/>
      <c r="AN71" s="66"/>
      <c r="AO71" s="66"/>
      <c r="AP71" s="66"/>
      <c r="BE71" s="25"/>
      <c r="BF71" s="25"/>
      <c r="BG71" s="25"/>
      <c r="BH71" s="25"/>
      <c r="BI71" s="25"/>
      <c r="BJ71" s="25"/>
      <c r="BK71" s="25"/>
      <c r="BL71" s="25"/>
      <c r="BM71" s="25"/>
      <c r="BN71" s="25"/>
      <c r="BO71" s="25"/>
      <c r="BP71" s="25"/>
      <c r="BQ71" s="25"/>
      <c r="BR71" s="25"/>
      <c r="BS71" s="25"/>
      <c r="BT71" s="25"/>
      <c r="BU71" s="25"/>
      <c r="BV71" s="25"/>
      <c r="BW71" s="25"/>
      <c r="BX71" s="25"/>
      <c r="BY71" s="25"/>
      <c r="BZ71" s="25"/>
      <c r="CA71" s="25"/>
      <c r="CB71" s="25"/>
      <c r="CC71" s="25"/>
      <c r="CD71" s="25"/>
      <c r="CE71" s="25"/>
      <c r="CF71" s="25"/>
      <c r="CG71" s="25"/>
      <c r="CH71" s="25"/>
      <c r="CI71" s="25"/>
    </row>
    <row r="72" spans="2:87" ht="4.95" customHeight="1" x14ac:dyDescent="0.3">
      <c r="K72" s="2"/>
      <c r="O72" s="2"/>
      <c r="W72" s="2"/>
      <c r="AE72" s="2"/>
      <c r="AK72" s="2"/>
      <c r="AN72" s="66"/>
      <c r="AO72" s="66"/>
      <c r="AP72" s="66"/>
    </row>
    <row r="73" spans="2:87" ht="15" customHeight="1" x14ac:dyDescent="0.3">
      <c r="I73" s="2" t="s">
        <v>196</v>
      </c>
      <c r="J73" s="55"/>
      <c r="K73" s="26" t="s">
        <v>123</v>
      </c>
      <c r="L73" s="2"/>
      <c r="M73" s="55"/>
      <c r="N73" s="26" t="s">
        <v>124</v>
      </c>
      <c r="Q73" s="2" t="s">
        <v>195</v>
      </c>
      <c r="R73" s="179"/>
      <c r="S73" s="179"/>
      <c r="T73" s="179"/>
      <c r="U73" s="179"/>
      <c r="V73" s="179"/>
      <c r="W73" s="179"/>
      <c r="X73" s="179"/>
      <c r="Y73" s="179"/>
      <c r="Z73" s="179"/>
      <c r="AA73" s="179"/>
      <c r="AB73" s="179"/>
      <c r="AC73" s="179"/>
      <c r="AD73" s="179"/>
      <c r="AE73" s="179"/>
      <c r="AF73" s="179"/>
      <c r="AG73" s="179"/>
      <c r="AH73" s="179"/>
      <c r="AK73" s="2"/>
      <c r="AL73" s="89">
        <f>IF(AND(ISBLANK(J73),ISBLANK(M73)),1,2)</f>
        <v>1</v>
      </c>
      <c r="AM73" s="89">
        <f>IF(ISBLANK(J73),1,2)</f>
        <v>1</v>
      </c>
      <c r="AN73" s="66"/>
      <c r="AO73" s="66"/>
      <c r="AP73" s="66"/>
      <c r="BE73" s="25"/>
      <c r="BF73" s="25"/>
      <c r="BG73" s="25"/>
      <c r="BH73" s="25"/>
      <c r="BI73" s="25"/>
      <c r="BJ73" s="25"/>
      <c r="BK73" s="25"/>
      <c r="BL73" s="25"/>
      <c r="BM73" s="25"/>
      <c r="BN73" s="25"/>
      <c r="BO73" s="25"/>
      <c r="BP73" s="25"/>
      <c r="BQ73" s="25"/>
      <c r="BR73" s="25"/>
      <c r="BS73" s="25"/>
      <c r="BT73" s="25"/>
      <c r="BU73" s="25"/>
      <c r="BV73" s="25"/>
      <c r="BW73" s="25"/>
      <c r="BX73" s="25"/>
      <c r="BY73" s="25"/>
      <c r="BZ73" s="25"/>
      <c r="CA73" s="25"/>
      <c r="CB73" s="25"/>
      <c r="CC73" s="25"/>
      <c r="CD73" s="25"/>
      <c r="CE73" s="25"/>
      <c r="CF73" s="25"/>
      <c r="CG73" s="25"/>
      <c r="CH73" s="25"/>
      <c r="CI73" s="25"/>
    </row>
    <row r="74" spans="2:87" ht="4.95" customHeight="1" x14ac:dyDescent="0.3">
      <c r="G74" s="2"/>
      <c r="H74" s="2"/>
      <c r="I74" s="2"/>
      <c r="J74" s="2"/>
      <c r="K74" s="2"/>
      <c r="L74" s="2"/>
      <c r="W74" s="2"/>
      <c r="X74" s="2"/>
      <c r="Y74" s="2"/>
      <c r="AK74" s="2"/>
      <c r="AN74" s="66"/>
      <c r="AO74" s="66"/>
      <c r="AP74" s="66"/>
      <c r="AV74" s="86"/>
      <c r="BE74" s="25"/>
      <c r="BF74" s="25"/>
      <c r="BG74" s="25"/>
      <c r="BH74" s="25"/>
      <c r="BI74" s="25"/>
      <c r="BJ74" s="25"/>
      <c r="BK74" s="25"/>
      <c r="BL74" s="25"/>
      <c r="BM74" s="25"/>
      <c r="BN74" s="25"/>
      <c r="BO74" s="25"/>
      <c r="BP74" s="25"/>
      <c r="BQ74" s="25"/>
      <c r="BR74" s="25"/>
      <c r="BS74" s="25"/>
      <c r="BT74" s="25"/>
      <c r="BU74" s="25"/>
      <c r="BV74" s="25"/>
      <c r="BW74" s="25"/>
      <c r="BX74" s="25"/>
      <c r="BY74" s="25"/>
      <c r="BZ74" s="25"/>
      <c r="CA74" s="25"/>
      <c r="CB74" s="25"/>
      <c r="CC74" s="25"/>
      <c r="CD74" s="25"/>
      <c r="CE74" s="25"/>
      <c r="CF74" s="25"/>
      <c r="CG74" s="25"/>
      <c r="CH74" s="25"/>
      <c r="CI74" s="25"/>
    </row>
    <row r="75" spans="2:87" ht="14.55" customHeight="1" x14ac:dyDescent="0.3">
      <c r="B75" s="72" t="s">
        <v>204</v>
      </c>
      <c r="K75" s="4" t="s">
        <v>197</v>
      </c>
      <c r="O75" s="195" t="s">
        <v>198</v>
      </c>
      <c r="P75" s="195"/>
      <c r="Q75" s="195"/>
      <c r="T75" s="195" t="s">
        <v>389</v>
      </c>
      <c r="U75" s="195"/>
      <c r="V75" s="195"/>
      <c r="W75" s="195"/>
      <c r="Z75" s="195" t="s">
        <v>390</v>
      </c>
      <c r="AA75" s="195"/>
      <c r="AB75" s="195"/>
      <c r="AC75" s="195"/>
      <c r="AF75" s="195" t="s">
        <v>391</v>
      </c>
      <c r="AG75" s="195"/>
      <c r="AH75" s="195"/>
      <c r="AN75" s="66"/>
      <c r="AO75" s="66"/>
      <c r="AP75" s="66"/>
      <c r="AV75" s="86"/>
      <c r="AW75" s="86"/>
      <c r="BE75" s="25"/>
      <c r="BF75" s="25"/>
      <c r="BG75" s="25"/>
      <c r="BH75" s="25"/>
      <c r="BI75" s="25"/>
      <c r="BJ75" s="25"/>
      <c r="BK75" s="25"/>
      <c r="BL75" s="25"/>
      <c r="BM75" s="25"/>
      <c r="BN75" s="25"/>
      <c r="BO75" s="25"/>
      <c r="BP75" s="25"/>
      <c r="BQ75" s="25"/>
      <c r="BR75" s="25"/>
      <c r="BS75" s="25"/>
      <c r="BT75" s="25"/>
      <c r="BU75" s="25"/>
      <c r="BV75" s="25"/>
      <c r="BW75" s="25"/>
      <c r="BX75" s="25"/>
      <c r="BY75" s="25"/>
      <c r="BZ75" s="25"/>
      <c r="CA75" s="25"/>
      <c r="CB75" s="25"/>
      <c r="CC75" s="25"/>
      <c r="CD75" s="25"/>
      <c r="CE75" s="25"/>
      <c r="CF75" s="25"/>
      <c r="CG75" s="25"/>
      <c r="CH75" s="25"/>
      <c r="CI75" s="25"/>
    </row>
    <row r="76" spans="2:87" ht="14.55" customHeight="1" x14ac:dyDescent="0.3">
      <c r="I76" s="2" t="s">
        <v>384</v>
      </c>
      <c r="J76" s="190"/>
      <c r="K76" s="190"/>
      <c r="L76" s="190"/>
      <c r="M76" s="26" t="s">
        <v>42</v>
      </c>
      <c r="O76" s="190"/>
      <c r="P76" s="190"/>
      <c r="Q76" s="190"/>
      <c r="R76" s="26" t="s">
        <v>43</v>
      </c>
      <c r="T76" s="186"/>
      <c r="U76" s="186"/>
      <c r="V76" s="186"/>
      <c r="W76" s="186"/>
      <c r="X76" s="26" t="s">
        <v>39</v>
      </c>
      <c r="Z76" s="186"/>
      <c r="AA76" s="186"/>
      <c r="AB76" s="186"/>
      <c r="AC76" s="186"/>
      <c r="AD76" s="26" t="s">
        <v>37</v>
      </c>
      <c r="AF76" s="189"/>
      <c r="AG76" s="189"/>
      <c r="AH76" s="189"/>
      <c r="AI76" s="26" t="s">
        <v>217</v>
      </c>
      <c r="AN76" s="66"/>
      <c r="AO76" s="66"/>
      <c r="AP76" s="66"/>
      <c r="AV76" s="86"/>
      <c r="AW76" s="86"/>
      <c r="BE76" s="25"/>
      <c r="BF76" s="25"/>
      <c r="BG76" s="25"/>
      <c r="BH76" s="25"/>
      <c r="BI76" s="25"/>
      <c r="BJ76" s="25"/>
      <c r="BK76" s="25"/>
      <c r="BL76" s="25"/>
      <c r="BM76" s="25"/>
      <c r="BN76" s="25"/>
      <c r="BO76" s="25"/>
      <c r="BP76" s="25"/>
      <c r="BQ76" s="25"/>
      <c r="BR76" s="25"/>
      <c r="BS76" s="25"/>
      <c r="BT76" s="25"/>
      <c r="BU76" s="25"/>
      <c r="BV76" s="25"/>
      <c r="BW76" s="25"/>
      <c r="BX76" s="25"/>
      <c r="BY76" s="25"/>
      <c r="BZ76" s="25"/>
      <c r="CA76" s="25"/>
      <c r="CB76" s="25"/>
      <c r="CC76" s="25"/>
      <c r="CD76" s="25"/>
      <c r="CE76" s="25"/>
      <c r="CF76" s="25"/>
      <c r="CG76" s="25"/>
      <c r="CH76" s="25"/>
      <c r="CI76" s="25"/>
    </row>
    <row r="77" spans="2:87" ht="14.55" customHeight="1" x14ac:dyDescent="0.3">
      <c r="I77" s="2" t="s">
        <v>385</v>
      </c>
      <c r="J77" s="183"/>
      <c r="K77" s="183"/>
      <c r="L77" s="183"/>
      <c r="M77" s="26" t="s">
        <v>42</v>
      </c>
      <c r="O77" s="183"/>
      <c r="P77" s="183"/>
      <c r="Q77" s="183"/>
      <c r="R77" s="26" t="s">
        <v>43</v>
      </c>
      <c r="T77" s="187"/>
      <c r="U77" s="187"/>
      <c r="V77" s="187"/>
      <c r="W77" s="187"/>
      <c r="X77" s="26" t="s">
        <v>39</v>
      </c>
      <c r="Z77" s="187"/>
      <c r="AA77" s="187"/>
      <c r="AB77" s="187"/>
      <c r="AC77" s="187"/>
      <c r="AD77" s="26" t="s">
        <v>37</v>
      </c>
      <c r="AF77" s="178"/>
      <c r="AG77" s="178"/>
      <c r="AH77" s="178"/>
      <c r="AI77" s="26" t="s">
        <v>217</v>
      </c>
      <c r="AN77" s="66"/>
      <c r="AO77" s="66"/>
      <c r="AP77" s="66"/>
      <c r="AV77" s="86"/>
      <c r="BE77" s="25"/>
      <c r="BF77" s="25"/>
      <c r="BG77" s="25"/>
      <c r="BH77" s="25"/>
      <c r="BI77" s="25"/>
      <c r="BJ77" s="25"/>
      <c r="BK77" s="25"/>
      <c r="BL77" s="25"/>
      <c r="BM77" s="25"/>
      <c r="BN77" s="25"/>
      <c r="BO77" s="25"/>
      <c r="BP77" s="25"/>
      <c r="BQ77" s="25"/>
      <c r="BR77" s="25"/>
      <c r="BS77" s="25"/>
      <c r="BT77" s="25"/>
      <c r="BU77" s="25"/>
      <c r="BV77" s="25"/>
      <c r="BW77" s="25"/>
      <c r="BX77" s="25"/>
      <c r="BY77" s="25"/>
      <c r="BZ77" s="25"/>
      <c r="CA77" s="25"/>
      <c r="CB77" s="25"/>
      <c r="CC77" s="25"/>
      <c r="CD77" s="25"/>
      <c r="CE77" s="25"/>
      <c r="CF77" s="25"/>
      <c r="CG77" s="25"/>
      <c r="CH77" s="25"/>
      <c r="CI77" s="25"/>
    </row>
    <row r="78" spans="2:87" ht="14.55" customHeight="1" x14ac:dyDescent="0.3">
      <c r="I78" s="2" t="s">
        <v>386</v>
      </c>
      <c r="J78" s="183"/>
      <c r="K78" s="183"/>
      <c r="L78" s="183"/>
      <c r="M78" s="26" t="s">
        <v>42</v>
      </c>
      <c r="O78" s="183"/>
      <c r="P78" s="183"/>
      <c r="Q78" s="183"/>
      <c r="R78" s="26" t="s">
        <v>43</v>
      </c>
      <c r="T78" s="187"/>
      <c r="U78" s="187"/>
      <c r="V78" s="187"/>
      <c r="W78" s="187"/>
      <c r="X78" s="26" t="s">
        <v>39</v>
      </c>
      <c r="Z78" s="187"/>
      <c r="AA78" s="187"/>
      <c r="AB78" s="187"/>
      <c r="AC78" s="187"/>
      <c r="AD78" s="26" t="s">
        <v>37</v>
      </c>
      <c r="AF78" s="178"/>
      <c r="AG78" s="178"/>
      <c r="AH78" s="178"/>
      <c r="AI78" s="26" t="s">
        <v>217</v>
      </c>
      <c r="AN78" s="66"/>
      <c r="AO78" s="66"/>
      <c r="AP78" s="66"/>
      <c r="AV78" s="21"/>
      <c r="BE78" s="25"/>
      <c r="BF78" s="25"/>
      <c r="BG78" s="25"/>
      <c r="BH78" s="25"/>
      <c r="BI78" s="25"/>
      <c r="BJ78" s="25"/>
      <c r="BK78" s="25"/>
      <c r="BL78" s="25"/>
      <c r="BM78" s="25"/>
      <c r="BN78" s="25"/>
      <c r="BO78" s="25"/>
      <c r="BP78" s="25"/>
      <c r="BQ78" s="25"/>
      <c r="BR78" s="25"/>
      <c r="BS78" s="25"/>
      <c r="BT78" s="25"/>
      <c r="BU78" s="25"/>
      <c r="BV78" s="25"/>
      <c r="BW78" s="25"/>
      <c r="BX78" s="25"/>
      <c r="BY78" s="25"/>
      <c r="BZ78" s="25"/>
      <c r="CA78" s="25"/>
      <c r="CB78" s="25"/>
      <c r="CC78" s="25"/>
      <c r="CD78" s="25"/>
      <c r="CE78" s="25"/>
      <c r="CF78" s="25"/>
      <c r="CG78" s="25"/>
      <c r="CH78" s="25"/>
      <c r="CI78" s="25"/>
    </row>
    <row r="79" spans="2:87" ht="15" customHeight="1" x14ac:dyDescent="0.3">
      <c r="I79" s="2" t="s">
        <v>387</v>
      </c>
      <c r="J79" s="183"/>
      <c r="K79" s="183"/>
      <c r="L79" s="183"/>
      <c r="M79" s="26" t="s">
        <v>42</v>
      </c>
      <c r="O79" s="183"/>
      <c r="P79" s="183"/>
      <c r="Q79" s="183"/>
      <c r="R79" s="26" t="s">
        <v>43</v>
      </c>
      <c r="T79" s="187"/>
      <c r="U79" s="187"/>
      <c r="V79" s="187"/>
      <c r="W79" s="187"/>
      <c r="X79" s="26" t="s">
        <v>39</v>
      </c>
      <c r="Z79" s="187"/>
      <c r="AA79" s="187"/>
      <c r="AB79" s="187"/>
      <c r="AC79" s="187"/>
      <c r="AD79" s="26" t="s">
        <v>37</v>
      </c>
      <c r="AF79" s="178"/>
      <c r="AG79" s="178"/>
      <c r="AH79" s="178"/>
      <c r="AI79" s="26" t="s">
        <v>217</v>
      </c>
      <c r="AN79" s="66"/>
      <c r="AO79" s="66"/>
      <c r="AP79" s="66"/>
      <c r="BA79" s="86"/>
      <c r="BB79" s="86"/>
      <c r="BC79" s="86"/>
      <c r="BD79" s="86"/>
      <c r="BE79" s="73"/>
      <c r="BF79" s="73"/>
      <c r="BG79" s="73"/>
      <c r="BH79" s="73"/>
      <c r="BI79" s="73"/>
      <c r="BJ79" s="73"/>
      <c r="BK79" s="73"/>
      <c r="BL79" s="73"/>
      <c r="BM79" s="73"/>
      <c r="BN79" s="73"/>
      <c r="BO79" s="73"/>
      <c r="BP79" s="73"/>
      <c r="BQ79" s="73"/>
      <c r="BR79" s="73"/>
      <c r="BS79" s="73"/>
      <c r="BT79" s="73"/>
      <c r="BU79" s="73"/>
      <c r="BV79" s="73"/>
      <c r="BW79" s="73"/>
      <c r="BX79" s="73"/>
      <c r="BY79" s="73"/>
      <c r="BZ79" s="73"/>
      <c r="CA79" s="73"/>
      <c r="CB79" s="73"/>
      <c r="CC79" s="73"/>
      <c r="CD79" s="73"/>
      <c r="CE79" s="73"/>
      <c r="CF79" s="73"/>
      <c r="CG79" s="73"/>
      <c r="CH79" s="73"/>
      <c r="CI79" s="73"/>
    </row>
    <row r="80" spans="2:87" ht="15" customHeight="1" x14ac:dyDescent="0.3">
      <c r="I80" s="2" t="s">
        <v>388</v>
      </c>
      <c r="J80" s="183"/>
      <c r="K80" s="183"/>
      <c r="L80" s="183"/>
      <c r="M80" s="26" t="s">
        <v>42</v>
      </c>
      <c r="O80" s="183"/>
      <c r="P80" s="183"/>
      <c r="Q80" s="183"/>
      <c r="R80" s="26" t="s">
        <v>43</v>
      </c>
      <c r="T80" s="187"/>
      <c r="U80" s="187"/>
      <c r="V80" s="187"/>
      <c r="W80" s="187"/>
      <c r="X80" s="26" t="s">
        <v>39</v>
      </c>
      <c r="Z80" s="187"/>
      <c r="AA80" s="187"/>
      <c r="AB80" s="187"/>
      <c r="AC80" s="187"/>
      <c r="AD80" s="26" t="s">
        <v>37</v>
      </c>
      <c r="AF80" s="178"/>
      <c r="AG80" s="178"/>
      <c r="AH80" s="178"/>
      <c r="AI80" s="26" t="s">
        <v>217</v>
      </c>
      <c r="AN80" s="66"/>
      <c r="AO80" s="66"/>
      <c r="AP80" s="66"/>
      <c r="BA80" s="86"/>
      <c r="BB80" s="86"/>
      <c r="BC80" s="86"/>
      <c r="BD80" s="86"/>
      <c r="BE80" s="73"/>
      <c r="BF80" s="73"/>
      <c r="BG80" s="73"/>
      <c r="BH80" s="73"/>
      <c r="BI80" s="73"/>
      <c r="BJ80" s="73"/>
      <c r="BK80" s="73"/>
      <c r="BL80" s="73"/>
      <c r="BM80" s="73"/>
      <c r="BN80" s="73"/>
      <c r="BO80" s="73"/>
      <c r="BP80" s="73"/>
      <c r="BQ80" s="73"/>
      <c r="BR80" s="73"/>
      <c r="BS80" s="73"/>
      <c r="BT80" s="73"/>
      <c r="BU80" s="73"/>
      <c r="BV80" s="73"/>
      <c r="BW80" s="73"/>
      <c r="BX80" s="73"/>
      <c r="BY80" s="73"/>
      <c r="BZ80" s="73"/>
      <c r="CA80" s="73"/>
      <c r="CB80" s="73"/>
      <c r="CC80" s="73"/>
      <c r="CD80" s="73"/>
      <c r="CE80" s="73"/>
      <c r="CF80" s="73"/>
      <c r="CG80" s="73"/>
      <c r="CH80" s="73"/>
      <c r="CI80" s="73"/>
    </row>
    <row r="81" spans="2:90" ht="4.95" customHeight="1" x14ac:dyDescent="0.3">
      <c r="L81" s="2"/>
      <c r="M81" s="27"/>
      <c r="N81" s="27"/>
      <c r="O81" s="27"/>
      <c r="R81" s="27"/>
      <c r="S81" s="27"/>
      <c r="T81" s="27"/>
      <c r="W81" s="27"/>
      <c r="X81" s="27"/>
      <c r="Y81" s="27"/>
      <c r="AN81" s="66"/>
      <c r="AO81" s="66"/>
      <c r="AP81" s="66"/>
      <c r="BA81" s="86"/>
      <c r="BB81" s="86"/>
      <c r="BC81" s="86"/>
      <c r="BD81" s="86"/>
      <c r="BE81" s="73"/>
      <c r="BF81" s="73"/>
      <c r="BG81" s="73"/>
      <c r="BH81" s="73"/>
      <c r="BI81" s="73"/>
      <c r="BJ81" s="73"/>
      <c r="BK81" s="73"/>
      <c r="BL81" s="73"/>
      <c r="BM81" s="73"/>
      <c r="BN81" s="73"/>
      <c r="BO81" s="73"/>
      <c r="BP81" s="73"/>
      <c r="BQ81" s="73"/>
      <c r="BR81" s="73"/>
      <c r="BS81" s="73"/>
      <c r="BT81" s="73"/>
      <c r="BU81" s="73"/>
      <c r="BV81" s="73"/>
      <c r="BW81" s="73"/>
      <c r="BX81" s="73"/>
      <c r="BY81" s="73"/>
      <c r="BZ81" s="73"/>
      <c r="CA81" s="73"/>
      <c r="CB81" s="73"/>
      <c r="CC81" s="73"/>
      <c r="CD81" s="73"/>
      <c r="CE81" s="73"/>
      <c r="CF81" s="73"/>
      <c r="CG81" s="73"/>
      <c r="CH81" s="73"/>
      <c r="CI81" s="73"/>
    </row>
    <row r="82" spans="2:90" ht="15" customHeight="1" x14ac:dyDescent="0.3">
      <c r="I82" s="2" t="s">
        <v>392</v>
      </c>
      <c r="J82" s="55"/>
      <c r="K82" s="26" t="s">
        <v>123</v>
      </c>
      <c r="L82" s="2"/>
      <c r="M82" s="55"/>
      <c r="N82" s="26" t="s">
        <v>124</v>
      </c>
      <c r="Q82" s="2" t="s">
        <v>195</v>
      </c>
      <c r="R82" s="179"/>
      <c r="S82" s="179"/>
      <c r="T82" s="179"/>
      <c r="U82" s="179"/>
      <c r="V82" s="179"/>
      <c r="W82" s="179"/>
      <c r="X82" s="179"/>
      <c r="Y82" s="179"/>
      <c r="Z82" s="179"/>
      <c r="AA82" s="179"/>
      <c r="AB82" s="179"/>
      <c r="AC82" s="179"/>
      <c r="AD82" s="179"/>
      <c r="AE82" s="179"/>
      <c r="AF82" s="179"/>
      <c r="AG82" s="179"/>
      <c r="AH82" s="179"/>
      <c r="AK82" s="2"/>
      <c r="AL82" s="89">
        <f>IF(AND(ISBLANK(J82),ISBLANK(M82)),1,2)</f>
        <v>1</v>
      </c>
      <c r="AM82" s="89">
        <f>IF(ISBLANK(J82),1,2)</f>
        <v>1</v>
      </c>
      <c r="AN82" s="66"/>
      <c r="AO82" s="66"/>
      <c r="AP82" s="66"/>
      <c r="BA82" s="86"/>
      <c r="BB82" s="86"/>
      <c r="BC82" s="86"/>
      <c r="BD82" s="86"/>
      <c r="BE82" s="73"/>
      <c r="BF82" s="73"/>
      <c r="BG82" s="73"/>
      <c r="BH82" s="73"/>
      <c r="BI82" s="73"/>
      <c r="BJ82" s="73"/>
      <c r="BK82" s="73"/>
      <c r="BL82" s="73"/>
      <c r="BM82" s="73"/>
      <c r="BN82" s="73"/>
      <c r="BO82" s="73"/>
      <c r="BP82" s="73"/>
      <c r="BQ82" s="73"/>
      <c r="BR82" s="73"/>
      <c r="BS82" s="73"/>
      <c r="BT82" s="73"/>
      <c r="BU82" s="73"/>
      <c r="BV82" s="73"/>
      <c r="BW82" s="73"/>
      <c r="BX82" s="73"/>
      <c r="BY82" s="73"/>
      <c r="BZ82" s="73"/>
      <c r="CA82" s="73"/>
      <c r="CB82" s="73"/>
      <c r="CC82" s="73"/>
      <c r="CD82" s="73"/>
      <c r="CE82" s="73"/>
      <c r="CF82" s="73"/>
      <c r="CG82" s="73"/>
      <c r="CH82" s="73"/>
      <c r="CI82" s="73"/>
    </row>
    <row r="83" spans="2:90" ht="4.95" customHeight="1" x14ac:dyDescent="0.3">
      <c r="AN83" s="66"/>
      <c r="AO83" s="66"/>
      <c r="AP83" s="66"/>
      <c r="BA83" s="86"/>
      <c r="BB83" s="86"/>
      <c r="BC83" s="86"/>
      <c r="BD83" s="86"/>
      <c r="BE83" s="73"/>
      <c r="BF83" s="73"/>
      <c r="BG83" s="73"/>
      <c r="BH83" s="73"/>
      <c r="BI83" s="73"/>
      <c r="BJ83" s="73"/>
      <c r="BK83" s="73"/>
      <c r="BL83" s="73"/>
      <c r="BM83" s="73"/>
      <c r="BN83" s="73"/>
      <c r="BO83" s="73"/>
      <c r="BP83" s="73"/>
      <c r="BQ83" s="73"/>
      <c r="BR83" s="73"/>
      <c r="BS83" s="73"/>
      <c r="BT83" s="73"/>
      <c r="BU83" s="73"/>
      <c r="BV83" s="73"/>
      <c r="BW83" s="73"/>
      <c r="BX83" s="73"/>
      <c r="BY83" s="73"/>
      <c r="BZ83" s="73"/>
      <c r="CA83" s="73"/>
      <c r="CB83" s="73"/>
      <c r="CC83" s="73"/>
      <c r="CD83" s="73"/>
      <c r="CE83" s="73"/>
      <c r="CF83" s="73"/>
      <c r="CG83" s="73"/>
      <c r="CH83" s="73"/>
      <c r="CI83" s="73"/>
    </row>
    <row r="84" spans="2:90" ht="14.55" customHeight="1" x14ac:dyDescent="0.3">
      <c r="B84" s="72" t="s">
        <v>201</v>
      </c>
      <c r="L84" s="2" t="s">
        <v>160</v>
      </c>
      <c r="M84" s="179"/>
      <c r="N84" s="179"/>
      <c r="O84" s="179"/>
      <c r="P84" s="179"/>
      <c r="AC84" s="55"/>
      <c r="AD84" s="26" t="s">
        <v>205</v>
      </c>
      <c r="AL84" s="89">
        <f>IF(ISBLANK(M84),1,2)</f>
        <v>1</v>
      </c>
      <c r="AM84" s="89">
        <f>IF(ISBLANK(AC84),1,2)</f>
        <v>1</v>
      </c>
      <c r="AN84" s="66"/>
      <c r="AO84" s="66"/>
      <c r="AP84" s="66"/>
      <c r="BA84" s="86"/>
      <c r="BB84" s="86"/>
      <c r="BC84" s="86"/>
      <c r="BD84" s="86"/>
      <c r="BE84" s="73"/>
      <c r="BF84" s="73"/>
      <c r="BG84" s="73"/>
      <c r="BH84" s="73"/>
      <c r="BI84" s="73"/>
      <c r="BJ84" s="73"/>
      <c r="BK84" s="73"/>
      <c r="BL84" s="73"/>
      <c r="BM84" s="73"/>
      <c r="BN84" s="73"/>
      <c r="BO84" s="73"/>
      <c r="BP84" s="73"/>
      <c r="BQ84" s="73"/>
      <c r="BR84" s="73"/>
      <c r="BS84" s="73"/>
      <c r="BT84" s="73"/>
      <c r="BU84" s="73"/>
      <c r="BV84" s="73"/>
      <c r="BW84" s="73"/>
      <c r="BX84" s="73"/>
      <c r="BY84" s="73"/>
      <c r="BZ84" s="73"/>
      <c r="CA84" s="73"/>
      <c r="CB84" s="73"/>
      <c r="CC84" s="73"/>
      <c r="CD84" s="73"/>
      <c r="CE84" s="73"/>
      <c r="CF84" s="73"/>
      <c r="CG84" s="73"/>
      <c r="CH84" s="73"/>
      <c r="CI84" s="73"/>
    </row>
    <row r="85" spans="2:90" ht="14.55" customHeight="1" x14ac:dyDescent="0.3">
      <c r="L85" s="2" t="s">
        <v>203</v>
      </c>
      <c r="M85" s="183"/>
      <c r="N85" s="183"/>
      <c r="O85" s="183"/>
      <c r="P85" s="26" t="s">
        <v>43</v>
      </c>
      <c r="V85" s="2" t="s">
        <v>159</v>
      </c>
      <c r="W85" s="190"/>
      <c r="X85" s="190"/>
      <c r="Y85" s="190"/>
      <c r="Z85" s="26" t="s">
        <v>42</v>
      </c>
      <c r="AN85" s="66"/>
      <c r="AO85" s="66"/>
      <c r="AP85" s="66"/>
      <c r="BA85" s="86"/>
      <c r="BB85" s="86"/>
      <c r="BC85" s="86"/>
      <c r="BD85" s="86"/>
      <c r="BE85" s="73"/>
      <c r="BF85" s="73"/>
      <c r="BG85" s="73"/>
      <c r="BH85" s="73"/>
      <c r="BI85" s="73"/>
      <c r="BJ85" s="73"/>
      <c r="BK85" s="73"/>
      <c r="BL85" s="73"/>
      <c r="BM85" s="73"/>
      <c r="BN85" s="73"/>
      <c r="BO85" s="73"/>
      <c r="BP85" s="73"/>
      <c r="BQ85" s="73"/>
      <c r="BR85" s="73"/>
      <c r="BS85" s="73"/>
      <c r="BT85" s="73"/>
      <c r="BU85" s="73"/>
      <c r="BV85" s="73"/>
      <c r="BW85" s="73"/>
      <c r="BX85" s="73"/>
      <c r="BY85" s="73"/>
      <c r="BZ85" s="73"/>
      <c r="CA85" s="73"/>
      <c r="CB85" s="73"/>
      <c r="CC85" s="73"/>
      <c r="CD85" s="73"/>
      <c r="CE85" s="73"/>
      <c r="CF85" s="73"/>
      <c r="CG85" s="73"/>
      <c r="CH85" s="73"/>
      <c r="CI85" s="73"/>
    </row>
    <row r="86" spans="2:90" ht="14.55" customHeight="1" x14ac:dyDescent="0.3">
      <c r="L86" s="2" t="s">
        <v>202</v>
      </c>
      <c r="M86" s="183"/>
      <c r="N86" s="183"/>
      <c r="O86" s="183"/>
      <c r="P86" s="26" t="s">
        <v>43</v>
      </c>
      <c r="V86" s="2" t="s">
        <v>159</v>
      </c>
      <c r="W86" s="183"/>
      <c r="X86" s="183"/>
      <c r="Y86" s="183"/>
      <c r="Z86" s="26" t="s">
        <v>42</v>
      </c>
      <c r="AN86" s="66"/>
      <c r="AO86" s="66"/>
      <c r="AP86" s="66"/>
      <c r="AV86" s="86"/>
      <c r="AZ86" s="86"/>
      <c r="BA86" s="86"/>
      <c r="BB86" s="86"/>
      <c r="BC86" s="86"/>
      <c r="BD86" s="86"/>
      <c r="BE86" s="73"/>
      <c r="BF86" s="73"/>
      <c r="BG86" s="73"/>
      <c r="BH86" s="73"/>
      <c r="BI86" s="73"/>
      <c r="BJ86" s="73"/>
      <c r="BK86" s="73"/>
      <c r="BL86" s="73"/>
      <c r="BM86" s="73"/>
      <c r="BN86" s="73"/>
      <c r="BO86" s="73"/>
      <c r="BP86" s="73"/>
      <c r="BQ86" s="73"/>
      <c r="BR86" s="73"/>
      <c r="BS86" s="73"/>
      <c r="BT86" s="73"/>
      <c r="BU86" s="73"/>
      <c r="BV86" s="73"/>
      <c r="BW86" s="73"/>
      <c r="BX86" s="73"/>
      <c r="BY86" s="73"/>
      <c r="BZ86" s="73"/>
      <c r="CA86" s="73"/>
      <c r="CB86" s="73"/>
      <c r="CC86" s="73"/>
      <c r="CD86" s="73"/>
      <c r="CE86" s="73"/>
      <c r="CF86" s="73"/>
      <c r="CG86" s="73"/>
      <c r="CH86" s="73"/>
      <c r="CI86" s="73"/>
    </row>
    <row r="87" spans="2:90" ht="4.95" customHeight="1" x14ac:dyDescent="0.3">
      <c r="AN87" s="66"/>
      <c r="AO87" s="66"/>
      <c r="AP87" s="66"/>
      <c r="AV87" s="86"/>
      <c r="AZ87" s="86"/>
      <c r="BA87" s="86"/>
      <c r="BB87" s="86"/>
      <c r="BC87" s="86"/>
      <c r="BD87" s="86"/>
      <c r="BE87" s="73"/>
      <c r="BF87" s="73"/>
      <c r="BG87" s="73"/>
      <c r="BH87" s="73"/>
      <c r="BI87" s="73"/>
      <c r="BJ87" s="73"/>
      <c r="BK87" s="73"/>
      <c r="BL87" s="73"/>
      <c r="BM87" s="73"/>
      <c r="BN87" s="73"/>
      <c r="BO87" s="73"/>
      <c r="BP87" s="73"/>
      <c r="BQ87" s="73"/>
      <c r="BR87" s="73"/>
      <c r="BS87" s="73"/>
      <c r="BT87" s="73"/>
      <c r="BU87" s="73"/>
      <c r="BV87" s="73"/>
      <c r="BW87" s="73"/>
      <c r="BX87" s="73"/>
      <c r="BY87" s="73"/>
      <c r="BZ87" s="73"/>
      <c r="CA87" s="73"/>
      <c r="CB87" s="73"/>
      <c r="CC87" s="73"/>
      <c r="CD87" s="73"/>
      <c r="CE87" s="73"/>
      <c r="CF87" s="73"/>
      <c r="CG87" s="73"/>
      <c r="CH87" s="73"/>
      <c r="CI87" s="73"/>
      <c r="CJ87" s="73"/>
      <c r="CK87" s="73"/>
      <c r="CL87" s="25"/>
    </row>
    <row r="88" spans="2:90" ht="14.55" customHeight="1" x14ac:dyDescent="0.3">
      <c r="B88" s="72" t="s">
        <v>393</v>
      </c>
      <c r="L88" s="2" t="s">
        <v>160</v>
      </c>
      <c r="M88" s="179"/>
      <c r="N88" s="179"/>
      <c r="O88" s="179"/>
      <c r="P88" s="179"/>
      <c r="AC88" s="55"/>
      <c r="AD88" s="26" t="s">
        <v>394</v>
      </c>
      <c r="AL88" s="89">
        <f>IF(ISBLANK(M88),1,2)</f>
        <v>1</v>
      </c>
      <c r="AM88" s="89">
        <f>IF(ISBLANK(AC88),1,2)</f>
        <v>1</v>
      </c>
      <c r="AN88" s="66"/>
      <c r="AO88" s="66"/>
      <c r="AP88" s="66"/>
      <c r="AV88" s="86"/>
      <c r="AZ88" s="73"/>
      <c r="BA88" s="73"/>
      <c r="BB88" s="73"/>
      <c r="BC88" s="73"/>
      <c r="BD88" s="73"/>
      <c r="BE88" s="73"/>
      <c r="BF88" s="73"/>
      <c r="BG88" s="73"/>
      <c r="BH88" s="73"/>
      <c r="BI88" s="73"/>
      <c r="BJ88" s="73"/>
      <c r="BK88" s="73"/>
      <c r="BL88" s="73"/>
      <c r="BM88" s="73"/>
      <c r="BN88" s="73"/>
      <c r="BO88" s="73"/>
      <c r="BP88" s="73"/>
      <c r="BQ88" s="73"/>
      <c r="BR88" s="73"/>
      <c r="BS88" s="73"/>
      <c r="BT88" s="73"/>
      <c r="BU88" s="73"/>
      <c r="BV88" s="73"/>
      <c r="BW88" s="73"/>
      <c r="BX88" s="73"/>
      <c r="BY88" s="73"/>
      <c r="BZ88" s="73"/>
      <c r="CA88" s="73"/>
      <c r="CB88" s="73"/>
      <c r="CC88" s="73"/>
      <c r="CD88" s="73"/>
      <c r="CE88" s="73"/>
      <c r="CF88" s="73"/>
      <c r="CG88" s="73"/>
      <c r="CH88" s="73"/>
      <c r="CI88" s="73"/>
      <c r="CJ88" s="73"/>
      <c r="CK88" s="73"/>
      <c r="CL88" s="25"/>
    </row>
    <row r="89" spans="2:90" ht="14.55" customHeight="1" x14ac:dyDescent="0.3">
      <c r="L89" s="2" t="s">
        <v>159</v>
      </c>
      <c r="M89" s="183"/>
      <c r="N89" s="183"/>
      <c r="O89" s="183"/>
      <c r="P89" s="26" t="s">
        <v>42</v>
      </c>
      <c r="V89" s="2" t="s">
        <v>395</v>
      </c>
      <c r="W89" s="210"/>
      <c r="X89" s="210"/>
      <c r="Y89" s="210"/>
      <c r="Z89" s="26" t="s">
        <v>199</v>
      </c>
      <c r="AN89" s="66"/>
      <c r="AO89" s="66"/>
      <c r="AP89" s="66"/>
      <c r="AV89" s="86"/>
      <c r="AZ89" s="73"/>
      <c r="BA89" s="73"/>
      <c r="BB89" s="73"/>
      <c r="BC89" s="73"/>
      <c r="BD89" s="73"/>
      <c r="BE89" s="73"/>
      <c r="BF89" s="73"/>
      <c r="BG89" s="73"/>
      <c r="BH89" s="73"/>
      <c r="BI89" s="73"/>
      <c r="BJ89" s="73"/>
      <c r="BK89" s="73"/>
      <c r="BL89" s="73"/>
      <c r="BM89" s="73"/>
      <c r="BN89" s="73"/>
      <c r="BO89" s="73"/>
      <c r="BP89" s="73"/>
      <c r="BQ89" s="73"/>
      <c r="BR89" s="73"/>
      <c r="BS89" s="73"/>
      <c r="BT89" s="73"/>
      <c r="BU89" s="73"/>
      <c r="BV89" s="73"/>
      <c r="BW89" s="73"/>
      <c r="BX89" s="73"/>
      <c r="BY89" s="73"/>
      <c r="BZ89" s="73"/>
      <c r="CA89" s="73"/>
      <c r="CB89" s="73"/>
      <c r="CC89" s="73"/>
      <c r="CD89" s="73"/>
      <c r="CE89" s="73"/>
      <c r="CF89" s="73"/>
      <c r="CG89" s="73"/>
      <c r="CH89" s="73"/>
      <c r="CI89" s="73"/>
      <c r="CJ89" s="73"/>
      <c r="CK89" s="73"/>
      <c r="CL89" s="25"/>
    </row>
    <row r="90" spans="2:90" ht="4.95" customHeight="1" x14ac:dyDescent="0.3">
      <c r="AN90" s="66"/>
      <c r="AO90" s="66"/>
      <c r="AP90" s="66"/>
      <c r="AZ90" s="73"/>
      <c r="BA90" s="73"/>
      <c r="BB90" s="73"/>
      <c r="BC90" s="73"/>
      <c r="BD90" s="73"/>
      <c r="BE90" s="73"/>
      <c r="BF90" s="73"/>
      <c r="BG90" s="73"/>
      <c r="BH90" s="73"/>
      <c r="BI90" s="73"/>
      <c r="BJ90" s="73"/>
      <c r="BK90" s="73"/>
      <c r="BL90" s="73"/>
      <c r="BM90" s="73"/>
      <c r="BN90" s="73"/>
      <c r="BO90" s="73"/>
      <c r="BP90" s="73"/>
      <c r="BQ90" s="73"/>
      <c r="BR90" s="73"/>
      <c r="BS90" s="73"/>
      <c r="BT90" s="73"/>
      <c r="BU90" s="73"/>
      <c r="BV90" s="73"/>
      <c r="BW90" s="73"/>
      <c r="BX90" s="73"/>
      <c r="BY90" s="73"/>
      <c r="BZ90" s="73"/>
      <c r="CA90" s="73"/>
      <c r="CB90" s="73"/>
      <c r="CC90" s="73"/>
      <c r="CD90" s="73"/>
      <c r="CE90" s="73"/>
      <c r="CF90" s="73"/>
      <c r="CG90" s="73"/>
      <c r="CH90" s="73"/>
      <c r="CI90" s="73"/>
      <c r="CJ90" s="73"/>
      <c r="CK90" s="73"/>
      <c r="CL90" s="25"/>
    </row>
    <row r="91" spans="2:90" ht="14.55" customHeight="1" x14ac:dyDescent="0.3">
      <c r="B91" s="72" t="s">
        <v>218</v>
      </c>
      <c r="L91" s="2" t="s">
        <v>160</v>
      </c>
      <c r="M91" s="179"/>
      <c r="N91" s="179"/>
      <c r="O91" s="179"/>
      <c r="P91" s="179"/>
      <c r="V91" s="2" t="s">
        <v>161</v>
      </c>
      <c r="W91" s="179"/>
      <c r="X91" s="179"/>
      <c r="Y91" s="179"/>
      <c r="AC91" s="55"/>
      <c r="AD91" s="26" t="s">
        <v>235</v>
      </c>
      <c r="AL91" s="89">
        <f>IF(ISBLANK(AC91),1,2)</f>
        <v>1</v>
      </c>
      <c r="AN91" s="66"/>
      <c r="AO91" s="66"/>
      <c r="AP91" s="66"/>
      <c r="AV91" s="86"/>
      <c r="AZ91" s="73"/>
      <c r="BA91" s="73"/>
      <c r="BB91" s="73"/>
      <c r="BC91" s="73"/>
      <c r="BD91" s="73"/>
      <c r="BE91" s="73"/>
      <c r="BF91" s="73"/>
      <c r="BG91" s="73"/>
      <c r="BH91" s="73"/>
      <c r="BI91" s="73"/>
      <c r="BJ91" s="73"/>
      <c r="BK91" s="73"/>
      <c r="BL91" s="73"/>
      <c r="BM91" s="73"/>
      <c r="BN91" s="73"/>
      <c r="BO91" s="73"/>
      <c r="BP91" s="73"/>
      <c r="BQ91" s="73"/>
      <c r="BR91" s="73"/>
      <c r="BS91" s="73"/>
      <c r="BT91" s="73"/>
      <c r="BU91" s="73"/>
      <c r="BV91" s="73"/>
      <c r="BW91" s="73"/>
      <c r="BX91" s="73"/>
      <c r="BY91" s="73"/>
      <c r="BZ91" s="73"/>
      <c r="CA91" s="73"/>
      <c r="CB91" s="73"/>
      <c r="CC91" s="73"/>
      <c r="CD91" s="73"/>
      <c r="CE91" s="73"/>
      <c r="CF91" s="73"/>
      <c r="CG91" s="73"/>
      <c r="CH91" s="73"/>
      <c r="CI91" s="73"/>
      <c r="CJ91" s="73"/>
      <c r="CK91" s="73"/>
      <c r="CL91" s="25"/>
    </row>
    <row r="92" spans="2:90" ht="4.95" customHeight="1" x14ac:dyDescent="0.3">
      <c r="C92" s="72"/>
      <c r="L92" s="2"/>
      <c r="M92" s="2"/>
      <c r="N92" s="2"/>
      <c r="O92" s="2"/>
      <c r="P92" s="2"/>
      <c r="Q92" s="2"/>
      <c r="R92" s="2"/>
      <c r="S92" s="2"/>
      <c r="T92" s="2"/>
      <c r="U92" s="2"/>
      <c r="V92" s="2"/>
      <c r="W92" s="2"/>
      <c r="X92" s="2"/>
      <c r="Y92" s="2"/>
      <c r="Z92" s="2"/>
      <c r="AA92" s="2"/>
      <c r="AB92" s="2"/>
      <c r="AC92" s="2"/>
      <c r="AD92" s="2"/>
      <c r="AN92" s="66"/>
      <c r="AO92" s="66"/>
      <c r="AP92" s="66"/>
      <c r="AV92" s="73"/>
      <c r="AW92" s="73"/>
      <c r="AX92" s="73"/>
      <c r="AY92" s="73"/>
      <c r="AZ92" s="73"/>
      <c r="BA92" s="73"/>
      <c r="BB92" s="73"/>
      <c r="BC92" s="73"/>
      <c r="BD92" s="73"/>
      <c r="BE92" s="73"/>
      <c r="BF92" s="73"/>
      <c r="BG92" s="73"/>
      <c r="BH92" s="73"/>
      <c r="BI92" s="73"/>
      <c r="BJ92" s="73"/>
      <c r="BK92" s="73"/>
      <c r="BL92" s="73"/>
      <c r="BM92" s="73"/>
      <c r="BN92" s="73"/>
      <c r="BO92" s="73"/>
      <c r="BP92" s="73"/>
      <c r="BQ92" s="73"/>
      <c r="BR92" s="73"/>
      <c r="BS92" s="73"/>
      <c r="BT92" s="73"/>
      <c r="BU92" s="73"/>
      <c r="BV92" s="73"/>
      <c r="BW92" s="73"/>
      <c r="BX92" s="73"/>
      <c r="BY92" s="73"/>
      <c r="BZ92" s="73"/>
      <c r="CA92" s="73"/>
      <c r="CB92" s="73"/>
      <c r="CC92" s="73"/>
      <c r="CD92" s="73"/>
      <c r="CE92" s="73"/>
      <c r="CF92" s="73"/>
      <c r="CG92" s="73"/>
      <c r="CH92" s="73"/>
      <c r="CI92" s="73"/>
      <c r="CJ92" s="73"/>
      <c r="CK92" s="73"/>
      <c r="CL92" s="25"/>
    </row>
    <row r="93" spans="2:90" ht="14.55" customHeight="1" x14ac:dyDescent="0.3">
      <c r="L93" s="2" t="s">
        <v>159</v>
      </c>
      <c r="M93" s="190"/>
      <c r="N93" s="190"/>
      <c r="O93" s="190"/>
      <c r="P93" s="26" t="s">
        <v>42</v>
      </c>
      <c r="V93" s="2" t="s">
        <v>158</v>
      </c>
      <c r="W93" s="190"/>
      <c r="X93" s="190"/>
      <c r="Y93" s="190"/>
      <c r="Z93" s="26" t="s">
        <v>43</v>
      </c>
      <c r="AE93" s="2" t="s">
        <v>162</v>
      </c>
      <c r="AF93" s="190"/>
      <c r="AG93" s="190"/>
      <c r="AH93" s="190"/>
      <c r="AI93" s="26" t="s">
        <v>43</v>
      </c>
      <c r="AL93" s="89">
        <f>IF(ISBLANK(M93),1,2)</f>
        <v>1</v>
      </c>
      <c r="AM93" s="89">
        <f>IF(AND(ISBLANK(W93),ISBLANK(AF93)),1,2)</f>
        <v>1</v>
      </c>
      <c r="AN93" s="66"/>
      <c r="AO93" s="66"/>
      <c r="AP93" s="66"/>
      <c r="AV93" s="73"/>
      <c r="AW93" s="73"/>
      <c r="AX93" s="73"/>
      <c r="AY93" s="73"/>
      <c r="AZ93" s="73"/>
      <c r="BA93" s="73"/>
      <c r="BB93" s="73"/>
      <c r="BC93" s="73"/>
      <c r="BD93" s="73"/>
      <c r="BE93" s="73"/>
      <c r="BF93" s="73"/>
      <c r="BG93" s="73"/>
      <c r="BH93" s="73"/>
      <c r="BI93" s="73"/>
      <c r="BJ93" s="73"/>
      <c r="BK93" s="73"/>
      <c r="BL93" s="73"/>
      <c r="BM93" s="73"/>
      <c r="BN93" s="73"/>
      <c r="BO93" s="73"/>
      <c r="BP93" s="73"/>
      <c r="BQ93" s="73"/>
      <c r="BR93" s="73"/>
      <c r="BS93" s="73"/>
      <c r="BT93" s="73"/>
      <c r="BU93" s="73"/>
      <c r="BV93" s="73"/>
      <c r="BW93" s="73"/>
      <c r="BX93" s="73"/>
      <c r="BY93" s="73"/>
      <c r="BZ93" s="73"/>
      <c r="CA93" s="73"/>
      <c r="CB93" s="73"/>
      <c r="CC93" s="73"/>
      <c r="CD93" s="73"/>
      <c r="CE93" s="73"/>
      <c r="CF93" s="73"/>
      <c r="CG93" s="73"/>
      <c r="CH93" s="73"/>
      <c r="CI93" s="73"/>
      <c r="CJ93" s="73"/>
      <c r="CK93" s="73"/>
      <c r="CL93" s="25"/>
    </row>
    <row r="94" spans="2:90" ht="4.95" customHeight="1" x14ac:dyDescent="0.3">
      <c r="AN94" s="66"/>
      <c r="AO94" s="66"/>
      <c r="AP94" s="66"/>
      <c r="AV94" s="73"/>
      <c r="AW94" s="73"/>
      <c r="AX94" s="73"/>
      <c r="AY94" s="73"/>
      <c r="AZ94" s="73"/>
      <c r="BA94" s="73"/>
      <c r="BB94" s="73"/>
      <c r="BC94" s="73"/>
      <c r="BD94" s="73"/>
      <c r="BE94" s="73"/>
      <c r="BF94" s="73"/>
      <c r="BG94" s="73"/>
      <c r="BH94" s="73"/>
      <c r="BI94" s="73"/>
      <c r="BJ94" s="73"/>
      <c r="BK94" s="73"/>
      <c r="BL94" s="73"/>
      <c r="BM94" s="73"/>
      <c r="BN94" s="73"/>
      <c r="BO94" s="73"/>
      <c r="BP94" s="73"/>
      <c r="BQ94" s="73"/>
      <c r="BR94" s="73"/>
      <c r="BS94" s="73"/>
      <c r="BT94" s="73"/>
      <c r="BU94" s="73"/>
      <c r="BV94" s="73"/>
      <c r="BW94" s="73"/>
      <c r="BX94" s="73"/>
      <c r="BY94" s="73"/>
      <c r="BZ94" s="73"/>
      <c r="CA94" s="73"/>
      <c r="CB94" s="73"/>
      <c r="CC94" s="73"/>
      <c r="CD94" s="73"/>
      <c r="CE94" s="73"/>
      <c r="CF94" s="73"/>
      <c r="CG94" s="73"/>
      <c r="CH94" s="73"/>
      <c r="CI94" s="73"/>
      <c r="CJ94" s="73"/>
      <c r="CK94" s="73"/>
      <c r="CL94" s="25"/>
    </row>
    <row r="95" spans="2:90" ht="14.55" customHeight="1" x14ac:dyDescent="0.3">
      <c r="L95" s="2" t="s">
        <v>230</v>
      </c>
      <c r="M95" s="190"/>
      <c r="N95" s="190"/>
      <c r="O95" s="190"/>
      <c r="P95" s="26" t="s">
        <v>43</v>
      </c>
      <c r="V95" s="2" t="s">
        <v>231</v>
      </c>
      <c r="W95" s="190"/>
      <c r="X95" s="190"/>
      <c r="Y95" s="190"/>
      <c r="Z95" s="26" t="s">
        <v>43</v>
      </c>
      <c r="AD95" s="2" t="s">
        <v>156</v>
      </c>
      <c r="AE95" s="19"/>
      <c r="AF95" s="26" t="s">
        <v>123</v>
      </c>
      <c r="AG95" s="2"/>
      <c r="AH95" s="19"/>
      <c r="AI95" s="26" t="s">
        <v>124</v>
      </c>
      <c r="AL95" s="89">
        <f>IF(AND(ISBLANK(AE95),ISBLANK(AH95)),1,2)</f>
        <v>1</v>
      </c>
      <c r="AN95" s="66"/>
      <c r="AO95" s="66"/>
      <c r="AP95" s="66"/>
      <c r="AV95" s="73"/>
      <c r="AW95" s="73"/>
      <c r="AX95" s="73"/>
      <c r="AY95" s="73"/>
      <c r="AZ95" s="73"/>
      <c r="BA95" s="73"/>
      <c r="BB95" s="73"/>
      <c r="BC95" s="73"/>
      <c r="BD95" s="73"/>
      <c r="BE95" s="73"/>
      <c r="BF95" s="73"/>
      <c r="BG95" s="73"/>
      <c r="BH95" s="73"/>
      <c r="BI95" s="73"/>
      <c r="BJ95" s="73"/>
      <c r="BK95" s="73"/>
      <c r="BL95" s="73"/>
      <c r="BM95" s="73"/>
      <c r="BN95" s="73"/>
      <c r="BO95" s="73"/>
      <c r="BP95" s="73"/>
      <c r="BQ95" s="73"/>
      <c r="BR95" s="73"/>
      <c r="BS95" s="73"/>
      <c r="BT95" s="73"/>
      <c r="BU95" s="73"/>
      <c r="BV95" s="73"/>
      <c r="BW95" s="73"/>
      <c r="BX95" s="73"/>
      <c r="BY95" s="73"/>
      <c r="BZ95" s="73"/>
      <c r="CA95" s="73"/>
      <c r="CB95" s="73"/>
      <c r="CC95" s="73"/>
      <c r="CD95" s="73"/>
      <c r="CE95" s="73"/>
      <c r="CF95" s="73"/>
      <c r="CG95" s="73"/>
      <c r="CH95" s="73"/>
      <c r="CI95" s="73"/>
      <c r="CJ95" s="73"/>
      <c r="CK95" s="73"/>
      <c r="CL95" s="25"/>
    </row>
    <row r="96" spans="2:90" ht="4.95" customHeight="1" x14ac:dyDescent="0.3">
      <c r="AN96" s="66"/>
      <c r="AO96" s="66"/>
      <c r="AP96" s="66"/>
      <c r="AV96" s="73"/>
      <c r="AW96" s="73"/>
      <c r="AX96" s="73"/>
      <c r="AY96" s="73"/>
      <c r="AZ96" s="73"/>
      <c r="BA96" s="73"/>
      <c r="BB96" s="73"/>
      <c r="BC96" s="73"/>
      <c r="BD96" s="73"/>
      <c r="BE96" s="73"/>
      <c r="BF96" s="73"/>
      <c r="BG96" s="73"/>
      <c r="BH96" s="73"/>
      <c r="BI96" s="73"/>
      <c r="BJ96" s="73"/>
      <c r="BK96" s="73"/>
      <c r="BL96" s="73"/>
      <c r="BM96" s="73"/>
      <c r="BN96" s="73"/>
      <c r="BO96" s="73"/>
      <c r="BP96" s="73"/>
      <c r="BQ96" s="73"/>
      <c r="BR96" s="73"/>
      <c r="BS96" s="73"/>
      <c r="BT96" s="73"/>
      <c r="BU96" s="73"/>
      <c r="BV96" s="73"/>
      <c r="BW96" s="73"/>
      <c r="BX96" s="73"/>
      <c r="BY96" s="73"/>
      <c r="BZ96" s="73"/>
      <c r="CA96" s="73"/>
      <c r="CB96" s="73"/>
      <c r="CC96" s="73"/>
      <c r="CD96" s="73"/>
      <c r="CE96" s="73"/>
      <c r="CF96" s="73"/>
      <c r="CG96" s="73"/>
      <c r="CH96" s="73"/>
      <c r="CI96" s="73"/>
      <c r="CJ96" s="73"/>
      <c r="CK96" s="73"/>
      <c r="CL96" s="25"/>
    </row>
    <row r="97" spans="2:90" ht="14.55" customHeight="1" x14ac:dyDescent="0.3">
      <c r="B97" s="72" t="s">
        <v>219</v>
      </c>
      <c r="L97" s="2" t="s">
        <v>160</v>
      </c>
      <c r="M97" s="179"/>
      <c r="N97" s="179"/>
      <c r="O97" s="179"/>
      <c r="P97" s="179"/>
      <c r="V97" s="2" t="s">
        <v>161</v>
      </c>
      <c r="W97" s="227"/>
      <c r="X97" s="227"/>
      <c r="Y97" s="227"/>
      <c r="AE97" s="2" t="s">
        <v>208</v>
      </c>
      <c r="AF97" s="190"/>
      <c r="AG97" s="190"/>
      <c r="AH97" s="190"/>
      <c r="AI97" s="26" t="s">
        <v>43</v>
      </c>
      <c r="AN97" s="66"/>
      <c r="AO97" s="66"/>
      <c r="AP97" s="66"/>
      <c r="AV97" s="73"/>
      <c r="AW97" s="73"/>
      <c r="AX97" s="73"/>
      <c r="AY97" s="73"/>
      <c r="AZ97" s="73"/>
      <c r="BA97" s="73"/>
      <c r="BB97" s="73"/>
      <c r="BC97" s="73"/>
      <c r="BD97" s="73"/>
      <c r="BE97" s="73"/>
      <c r="BF97" s="73"/>
      <c r="BG97" s="73"/>
      <c r="BH97" s="73"/>
      <c r="BI97" s="73"/>
      <c r="BJ97" s="73"/>
      <c r="BK97" s="73"/>
      <c r="BL97" s="73"/>
      <c r="BM97" s="73"/>
      <c r="BN97" s="73"/>
      <c r="BO97" s="73"/>
      <c r="BP97" s="73"/>
      <c r="BQ97" s="73"/>
      <c r="BR97" s="73"/>
      <c r="BS97" s="73"/>
      <c r="BT97" s="73"/>
      <c r="BU97" s="73"/>
      <c r="BV97" s="73"/>
      <c r="BW97" s="73"/>
      <c r="BX97" s="73"/>
      <c r="BY97" s="73"/>
      <c r="BZ97" s="73"/>
      <c r="CA97" s="73"/>
      <c r="CB97" s="73"/>
      <c r="CC97" s="73"/>
      <c r="CD97" s="73"/>
      <c r="CE97" s="73"/>
      <c r="CF97" s="73"/>
      <c r="CG97" s="73"/>
      <c r="CH97" s="73"/>
      <c r="CI97" s="73"/>
      <c r="CJ97" s="73"/>
      <c r="CK97" s="73"/>
      <c r="CL97" s="25"/>
    </row>
    <row r="98" spans="2:90" ht="14.55" customHeight="1" x14ac:dyDescent="0.3">
      <c r="L98" s="2" t="s">
        <v>159</v>
      </c>
      <c r="M98" s="190"/>
      <c r="N98" s="190"/>
      <c r="O98" s="190"/>
      <c r="P98" s="26" t="s">
        <v>42</v>
      </c>
      <c r="V98" s="2" t="s">
        <v>158</v>
      </c>
      <c r="W98" s="183"/>
      <c r="X98" s="183"/>
      <c r="Y98" s="183"/>
      <c r="Z98" s="26" t="s">
        <v>43</v>
      </c>
      <c r="AE98" s="2" t="s">
        <v>162</v>
      </c>
      <c r="AF98" s="190"/>
      <c r="AG98" s="190"/>
      <c r="AH98" s="190"/>
      <c r="AI98" s="26" t="s">
        <v>43</v>
      </c>
      <c r="AL98" s="89">
        <f>IF(ISBLANK(M98),1,2)</f>
        <v>1</v>
      </c>
      <c r="AM98" s="89">
        <f>IF(AND(ISBLANK(W98),ISBLANK(AF98)),1,2)</f>
        <v>1</v>
      </c>
      <c r="AN98" s="66"/>
      <c r="AO98" s="66"/>
      <c r="AP98" s="66"/>
      <c r="AV98" s="73"/>
      <c r="AW98" s="73"/>
      <c r="AX98" s="73"/>
      <c r="AY98" s="73"/>
      <c r="AZ98" s="73"/>
      <c r="BA98" s="73"/>
      <c r="BB98" s="73"/>
      <c r="BC98" s="73"/>
      <c r="BD98" s="73"/>
      <c r="BE98" s="73"/>
      <c r="BF98" s="73"/>
      <c r="BG98" s="73"/>
      <c r="BH98" s="73"/>
      <c r="BI98" s="73"/>
      <c r="BJ98" s="73"/>
      <c r="BK98" s="73"/>
      <c r="BL98" s="73"/>
      <c r="BM98" s="73"/>
      <c r="BN98" s="73"/>
      <c r="BO98" s="73"/>
      <c r="BP98" s="73"/>
      <c r="BQ98" s="73"/>
      <c r="BR98" s="73"/>
      <c r="BS98" s="73"/>
      <c r="BT98" s="73"/>
      <c r="BU98" s="73"/>
      <c r="BV98" s="73"/>
      <c r="BW98" s="73"/>
      <c r="BX98" s="73"/>
      <c r="BY98" s="73"/>
      <c r="BZ98" s="73"/>
      <c r="CA98" s="73"/>
      <c r="CB98" s="73"/>
      <c r="CC98" s="73"/>
      <c r="CD98" s="73"/>
      <c r="CE98" s="73"/>
      <c r="CF98" s="73"/>
      <c r="CG98" s="73"/>
      <c r="CH98" s="73"/>
      <c r="CI98" s="73"/>
      <c r="CJ98" s="73"/>
      <c r="CK98" s="73"/>
      <c r="CL98" s="25"/>
    </row>
    <row r="99" spans="2:90" ht="4.95" customHeight="1" x14ac:dyDescent="0.3">
      <c r="AE99" s="2"/>
      <c r="AF99" s="27"/>
      <c r="AG99" s="27"/>
      <c r="AH99" s="27"/>
      <c r="AN99" s="66"/>
      <c r="AO99" s="66"/>
      <c r="AP99" s="66"/>
      <c r="AV99" s="73"/>
      <c r="AW99" s="73"/>
      <c r="AX99" s="73"/>
      <c r="AY99" s="73"/>
      <c r="AZ99" s="73"/>
      <c r="BA99" s="73"/>
      <c r="BB99" s="73"/>
      <c r="BC99" s="73"/>
      <c r="BD99" s="73"/>
      <c r="BE99" s="73"/>
      <c r="BF99" s="73"/>
      <c r="BG99" s="73"/>
      <c r="BH99" s="73"/>
      <c r="BI99" s="73"/>
      <c r="BJ99" s="73"/>
      <c r="BK99" s="73"/>
      <c r="BL99" s="73"/>
      <c r="BM99" s="73"/>
      <c r="BN99" s="73"/>
      <c r="BO99" s="73"/>
      <c r="BP99" s="73"/>
      <c r="BQ99" s="73"/>
      <c r="BR99" s="73"/>
      <c r="BS99" s="73"/>
      <c r="BT99" s="73"/>
      <c r="BU99" s="73"/>
      <c r="BV99" s="73"/>
      <c r="BW99" s="73"/>
      <c r="BX99" s="73"/>
      <c r="BY99" s="73"/>
      <c r="BZ99" s="73"/>
      <c r="CA99" s="73"/>
      <c r="CB99" s="73"/>
      <c r="CC99" s="73"/>
      <c r="CD99" s="73"/>
      <c r="CE99" s="73"/>
      <c r="CF99" s="73"/>
      <c r="CG99" s="73"/>
      <c r="CH99" s="73"/>
      <c r="CI99" s="73"/>
      <c r="CJ99" s="73"/>
      <c r="CK99" s="73"/>
      <c r="CL99" s="25"/>
    </row>
    <row r="100" spans="2:90" ht="14.55" customHeight="1" x14ac:dyDescent="0.3">
      <c r="B100" s="72" t="s">
        <v>220</v>
      </c>
      <c r="L100" s="2" t="s">
        <v>221</v>
      </c>
      <c r="M100" s="190"/>
      <c r="N100" s="190"/>
      <c r="O100" s="190"/>
      <c r="P100" s="26" t="s">
        <v>42</v>
      </c>
      <c r="V100" s="2" t="s">
        <v>222</v>
      </c>
      <c r="W100" s="190"/>
      <c r="X100" s="190"/>
      <c r="Y100" s="190"/>
      <c r="Z100" s="26" t="s">
        <v>223</v>
      </c>
      <c r="AN100" s="66" t="s">
        <v>157</v>
      </c>
      <c r="AO100" s="89">
        <f>IF(ISBLANK(K104),1,2)</f>
        <v>1</v>
      </c>
      <c r="AP100" s="20"/>
      <c r="AV100" s="73"/>
      <c r="AW100" s="73"/>
      <c r="AX100" s="73"/>
      <c r="AY100" s="73"/>
      <c r="AZ100" s="73"/>
      <c r="BA100" s="73"/>
      <c r="BB100" s="73"/>
      <c r="BC100" s="73"/>
      <c r="BD100" s="73"/>
      <c r="BE100" s="73"/>
      <c r="BF100" s="73"/>
      <c r="BG100" s="73"/>
      <c r="BH100" s="73"/>
      <c r="BI100" s="73"/>
      <c r="BJ100" s="73"/>
      <c r="BK100" s="73"/>
      <c r="BL100" s="73"/>
      <c r="BM100" s="73"/>
      <c r="BN100" s="73"/>
      <c r="BO100" s="73"/>
      <c r="BP100" s="73"/>
      <c r="BQ100" s="73"/>
      <c r="BR100" s="73"/>
      <c r="BS100" s="73"/>
      <c r="BT100" s="73"/>
      <c r="BU100" s="73"/>
      <c r="BV100" s="73"/>
      <c r="BW100" s="73"/>
      <c r="BX100" s="73"/>
      <c r="BY100" s="73"/>
      <c r="BZ100" s="73"/>
      <c r="CA100" s="73"/>
      <c r="CB100" s="73"/>
      <c r="CC100" s="73"/>
      <c r="CD100" s="73"/>
      <c r="CE100" s="73"/>
      <c r="CF100" s="73"/>
      <c r="CG100" s="73"/>
      <c r="CH100" s="73"/>
      <c r="CI100" s="73"/>
      <c r="CJ100" s="73"/>
      <c r="CK100" s="73"/>
      <c r="CL100" s="25"/>
    </row>
    <row r="101" spans="2:90" ht="4.95" customHeight="1" x14ac:dyDescent="0.3">
      <c r="AN101" s="66"/>
      <c r="AO101" s="66"/>
      <c r="AP101" s="66"/>
      <c r="AV101" s="73"/>
      <c r="AW101" s="73"/>
      <c r="AX101" s="73"/>
      <c r="AY101" s="73"/>
      <c r="AZ101" s="73"/>
      <c r="BA101" s="73"/>
      <c r="BB101" s="73"/>
      <c r="BC101" s="73"/>
      <c r="BD101" s="73"/>
      <c r="BE101" s="73"/>
      <c r="BF101" s="73"/>
      <c r="BG101" s="73"/>
      <c r="BH101" s="73"/>
      <c r="BI101" s="73"/>
      <c r="BJ101" s="73"/>
      <c r="BK101" s="73"/>
      <c r="BL101" s="73"/>
      <c r="BM101" s="73"/>
      <c r="BN101" s="73"/>
      <c r="BO101" s="73"/>
      <c r="BP101" s="73"/>
      <c r="BQ101" s="73"/>
      <c r="BR101" s="73"/>
      <c r="BS101" s="73"/>
      <c r="BT101" s="73"/>
      <c r="BU101" s="73"/>
      <c r="BV101" s="73"/>
      <c r="BW101" s="73"/>
      <c r="BX101" s="73"/>
      <c r="BY101" s="73"/>
      <c r="BZ101" s="73"/>
      <c r="CA101" s="73"/>
      <c r="CB101" s="73"/>
      <c r="CC101" s="73"/>
      <c r="CD101" s="73"/>
      <c r="CE101" s="73"/>
      <c r="CF101" s="73"/>
      <c r="CG101" s="73"/>
      <c r="CH101" s="73"/>
      <c r="CI101" s="73"/>
      <c r="CJ101" s="73"/>
      <c r="CK101" s="73"/>
      <c r="CL101" s="25"/>
    </row>
    <row r="102" spans="2:90" ht="14.55" customHeight="1" x14ac:dyDescent="0.3">
      <c r="B102" s="72" t="s">
        <v>224</v>
      </c>
      <c r="L102" s="2" t="s">
        <v>221</v>
      </c>
      <c r="M102" s="190"/>
      <c r="N102" s="190"/>
      <c r="O102" s="190"/>
      <c r="P102" s="26" t="s">
        <v>42</v>
      </c>
      <c r="V102" s="2" t="s">
        <v>222</v>
      </c>
      <c r="W102" s="190"/>
      <c r="X102" s="190"/>
      <c r="Y102" s="190"/>
      <c r="Z102" s="26" t="s">
        <v>223</v>
      </c>
      <c r="AE102" s="2" t="s">
        <v>225</v>
      </c>
      <c r="AF102" s="210"/>
      <c r="AG102" s="210"/>
      <c r="AH102" s="210"/>
      <c r="AI102" s="26" t="s">
        <v>226</v>
      </c>
      <c r="AN102" s="66" t="s">
        <v>282</v>
      </c>
      <c r="AO102" s="89">
        <f>IF(AND(ISBLANK(K104),ISBLANK(N104)),1,IF(LEN(K104)&gt;0,1,0))</f>
        <v>1</v>
      </c>
      <c r="AP102" s="20"/>
      <c r="AV102" s="73"/>
      <c r="AW102" s="73"/>
      <c r="AX102" s="73"/>
      <c r="AY102" s="73"/>
      <c r="AZ102" s="73"/>
      <c r="BA102" s="73"/>
      <c r="BB102" s="73"/>
      <c r="BC102" s="73"/>
      <c r="BD102" s="73"/>
      <c r="BE102" s="73"/>
      <c r="BF102" s="73"/>
      <c r="BG102" s="73"/>
      <c r="BH102" s="73"/>
      <c r="BI102" s="73"/>
      <c r="BJ102" s="73"/>
      <c r="BK102" s="73"/>
      <c r="BL102" s="73"/>
      <c r="BM102" s="73"/>
      <c r="BN102" s="73"/>
      <c r="BO102" s="73"/>
      <c r="BP102" s="73"/>
      <c r="BQ102" s="73"/>
      <c r="BR102" s="73"/>
      <c r="BS102" s="73"/>
      <c r="BT102" s="73"/>
      <c r="BU102" s="73"/>
      <c r="BV102" s="73"/>
      <c r="BW102" s="73"/>
      <c r="BX102" s="73"/>
      <c r="BY102" s="73"/>
      <c r="BZ102" s="73"/>
      <c r="CA102" s="73"/>
      <c r="CB102" s="73"/>
      <c r="CC102" s="73"/>
      <c r="CD102" s="73"/>
      <c r="CE102" s="73"/>
      <c r="CF102" s="73"/>
      <c r="CG102" s="73"/>
      <c r="CH102" s="73"/>
      <c r="CI102" s="73"/>
      <c r="CJ102" s="73"/>
      <c r="CK102" s="73"/>
      <c r="CL102" s="25"/>
    </row>
    <row r="103" spans="2:90" ht="15" customHeight="1" x14ac:dyDescent="0.3">
      <c r="AV103" s="73"/>
      <c r="AW103" s="73"/>
      <c r="AX103" s="73"/>
      <c r="AY103" s="73"/>
      <c r="AZ103" s="73"/>
      <c r="BA103" s="73"/>
      <c r="BB103" s="73"/>
      <c r="BC103" s="73"/>
      <c r="BD103" s="73"/>
      <c r="BE103" s="73"/>
      <c r="BF103" s="73"/>
      <c r="BG103" s="73"/>
      <c r="BH103" s="73"/>
      <c r="BI103" s="73"/>
      <c r="BJ103" s="73"/>
      <c r="BK103" s="73"/>
      <c r="BL103" s="73"/>
      <c r="BM103" s="73"/>
      <c r="BN103" s="73"/>
      <c r="BO103" s="73"/>
      <c r="BP103" s="73"/>
      <c r="BQ103" s="73"/>
      <c r="BR103" s="73"/>
      <c r="BS103" s="73"/>
      <c r="BT103" s="73"/>
      <c r="BU103" s="73"/>
      <c r="BV103" s="73"/>
      <c r="BW103" s="73"/>
      <c r="BX103" s="73"/>
      <c r="BY103" s="73"/>
      <c r="BZ103" s="73"/>
      <c r="CA103" s="73"/>
      <c r="CB103" s="73"/>
      <c r="CC103" s="73"/>
      <c r="CD103" s="73"/>
      <c r="CE103" s="73"/>
      <c r="CF103" s="73"/>
      <c r="CG103" s="73"/>
      <c r="CH103" s="73"/>
      <c r="CI103" s="73"/>
      <c r="CJ103" s="73"/>
      <c r="CK103" s="73"/>
    </row>
    <row r="104" spans="2:90" ht="14.55" customHeight="1" x14ac:dyDescent="0.3">
      <c r="B104" s="1" t="s">
        <v>14</v>
      </c>
      <c r="C104" s="1"/>
      <c r="D104" s="1"/>
      <c r="E104" s="1"/>
      <c r="F104" s="1"/>
      <c r="G104" s="1"/>
      <c r="H104" s="1"/>
      <c r="I104" s="1"/>
      <c r="K104" s="55"/>
      <c r="L104" s="26" t="s">
        <v>123</v>
      </c>
      <c r="N104" s="55"/>
      <c r="O104" s="26" t="s">
        <v>124</v>
      </c>
      <c r="Z104" s="2"/>
      <c r="AD104" s="2" t="s">
        <v>140</v>
      </c>
      <c r="AE104" s="55"/>
      <c r="AF104" s="26" t="s">
        <v>123</v>
      </c>
      <c r="AG104" s="31"/>
      <c r="AH104" s="55"/>
      <c r="AI104" s="31" t="s">
        <v>141</v>
      </c>
      <c r="AL104" s="94">
        <f>IF(AND(ISBLANK(AE104),ISBLANK(AH104)),1,2)</f>
        <v>1</v>
      </c>
      <c r="AM104" s="89">
        <f>SUM(AM106,AM107,AM109,AO106,AO107,AO109)</f>
        <v>0</v>
      </c>
      <c r="AN104" s="50" t="s">
        <v>207</v>
      </c>
      <c r="AO104" s="89">
        <f>IF(AND(ISBLANK(K104),ISBLANK(N104)),1,2)</f>
        <v>1</v>
      </c>
      <c r="AP104" s="20"/>
      <c r="AV104" s="73"/>
      <c r="AW104" s="73"/>
      <c r="AX104" s="73"/>
      <c r="AY104" s="73"/>
      <c r="AZ104" s="73"/>
      <c r="BA104" s="73"/>
      <c r="BB104" s="73"/>
      <c r="BC104" s="73"/>
      <c r="BD104" s="73"/>
      <c r="BE104" s="73"/>
      <c r="BF104" s="73"/>
      <c r="BG104" s="73"/>
      <c r="BH104" s="73"/>
      <c r="BI104" s="73"/>
      <c r="BJ104" s="73"/>
      <c r="BK104" s="73"/>
      <c r="BL104" s="73"/>
      <c r="BM104" s="73"/>
      <c r="BN104" s="73"/>
      <c r="BO104" s="73"/>
      <c r="BP104" s="73"/>
      <c r="BQ104" s="73"/>
      <c r="BR104" s="73"/>
      <c r="BS104" s="73"/>
      <c r="BT104" s="73"/>
      <c r="BU104" s="73"/>
      <c r="BV104" s="73"/>
      <c r="BW104" s="73"/>
      <c r="BX104" s="73"/>
      <c r="BY104" s="73"/>
      <c r="BZ104" s="73"/>
      <c r="CA104" s="73"/>
      <c r="CB104" s="73"/>
      <c r="CC104" s="73"/>
      <c r="CD104" s="73"/>
      <c r="CE104" s="73"/>
      <c r="CF104" s="73"/>
      <c r="CG104" s="73"/>
      <c r="CH104" s="73"/>
      <c r="CI104" s="73"/>
      <c r="CJ104" s="73"/>
      <c r="CK104" s="73"/>
    </row>
    <row r="105" spans="2:90" ht="4.95" customHeight="1" x14ac:dyDescent="0.3">
      <c r="B105" s="1"/>
      <c r="C105" s="1"/>
      <c r="D105" s="1"/>
      <c r="E105" s="1"/>
      <c r="F105" s="1"/>
      <c r="G105" s="1"/>
      <c r="H105" s="1"/>
      <c r="I105" s="1"/>
      <c r="K105" s="4"/>
      <c r="N105" s="4"/>
      <c r="AJ105" s="31"/>
      <c r="AL105" s="68"/>
      <c r="AN105" s="66"/>
      <c r="AV105" s="73"/>
      <c r="AW105" s="73"/>
      <c r="AX105" s="73"/>
      <c r="AY105" s="73"/>
      <c r="AZ105" s="73"/>
      <c r="BA105" s="73"/>
      <c r="BB105" s="73"/>
      <c r="BC105" s="73"/>
      <c r="BD105" s="73"/>
      <c r="BE105" s="73"/>
      <c r="BF105" s="73"/>
      <c r="BG105" s="73"/>
      <c r="BH105" s="73"/>
      <c r="BI105" s="73"/>
      <c r="BJ105" s="73"/>
      <c r="BK105" s="73"/>
      <c r="BL105" s="73"/>
      <c r="BM105" s="73"/>
      <c r="BN105" s="73"/>
      <c r="BO105" s="73"/>
      <c r="BP105" s="73"/>
      <c r="BQ105" s="73"/>
      <c r="BR105" s="73"/>
      <c r="BS105" s="73"/>
      <c r="BT105" s="73"/>
      <c r="BU105" s="73"/>
      <c r="BV105" s="73"/>
      <c r="BW105" s="73"/>
      <c r="BX105" s="73"/>
      <c r="BY105" s="73"/>
      <c r="BZ105" s="73"/>
      <c r="CA105" s="73"/>
      <c r="CB105" s="73"/>
      <c r="CC105" s="73"/>
      <c r="CD105" s="73"/>
      <c r="CE105" s="73"/>
      <c r="CF105" s="73"/>
      <c r="CG105" s="73"/>
      <c r="CH105" s="73"/>
      <c r="CI105" s="73"/>
      <c r="CJ105" s="73"/>
      <c r="CK105" s="73"/>
    </row>
    <row r="106" spans="2:90" ht="14.55" customHeight="1" x14ac:dyDescent="0.3">
      <c r="E106" s="2" t="s">
        <v>160</v>
      </c>
      <c r="F106" s="179"/>
      <c r="G106" s="179"/>
      <c r="H106" s="179"/>
      <c r="I106" s="179"/>
      <c r="N106" s="2" t="s">
        <v>161</v>
      </c>
      <c r="O106" s="179"/>
      <c r="P106" s="179"/>
      <c r="Q106" s="179"/>
      <c r="AI106" s="31"/>
      <c r="AJ106" s="31"/>
      <c r="AL106" s="66" t="s">
        <v>23</v>
      </c>
      <c r="AM106" s="89">
        <f>IF(ISBLANK(F106),0,1)</f>
        <v>0</v>
      </c>
      <c r="AN106" s="66" t="s">
        <v>33</v>
      </c>
      <c r="AO106" s="89">
        <f>IF(ISBLANK(O106),0,1)</f>
        <v>0</v>
      </c>
      <c r="AP106" s="20"/>
      <c r="AV106" s="73"/>
      <c r="AW106" s="73"/>
      <c r="AX106" s="73"/>
      <c r="AY106" s="73"/>
      <c r="AZ106" s="73"/>
      <c r="BA106" s="73"/>
      <c r="BB106" s="73"/>
      <c r="BC106" s="73"/>
      <c r="BD106" s="73"/>
      <c r="BE106" s="73"/>
      <c r="BF106" s="73"/>
      <c r="BG106" s="73"/>
      <c r="BH106" s="73"/>
      <c r="BI106" s="73"/>
      <c r="BJ106" s="73"/>
      <c r="BK106" s="73"/>
      <c r="BL106" s="73"/>
      <c r="BM106" s="73"/>
      <c r="BN106" s="73"/>
      <c r="BO106" s="73"/>
      <c r="BP106" s="73"/>
      <c r="BQ106" s="73"/>
      <c r="BR106" s="73"/>
      <c r="BS106" s="73"/>
      <c r="BT106" s="73"/>
      <c r="BU106" s="73"/>
      <c r="BV106" s="73"/>
      <c r="BW106" s="73"/>
      <c r="BX106" s="73"/>
      <c r="BY106" s="73"/>
      <c r="BZ106" s="73"/>
      <c r="CA106" s="73"/>
      <c r="CB106" s="73"/>
      <c r="CC106" s="73"/>
      <c r="CD106" s="73"/>
      <c r="CE106" s="73"/>
      <c r="CF106" s="73"/>
      <c r="CG106" s="73"/>
      <c r="CH106" s="73"/>
      <c r="CI106" s="73"/>
      <c r="CJ106" s="73"/>
      <c r="CK106" s="73"/>
    </row>
    <row r="107" spans="2:90" ht="14.55" customHeight="1" x14ac:dyDescent="0.3">
      <c r="E107" s="2" t="s">
        <v>158</v>
      </c>
      <c r="F107" s="183"/>
      <c r="G107" s="183"/>
      <c r="H107" s="183"/>
      <c r="I107" s="183"/>
      <c r="J107" s="26" t="s">
        <v>43</v>
      </c>
      <c r="N107" s="2" t="s">
        <v>162</v>
      </c>
      <c r="O107" s="183"/>
      <c r="P107" s="183"/>
      <c r="Q107" s="183"/>
      <c r="R107" s="26" t="s">
        <v>43</v>
      </c>
      <c r="V107" s="2" t="s">
        <v>175</v>
      </c>
      <c r="W107" s="190"/>
      <c r="X107" s="190"/>
      <c r="Y107" s="190"/>
      <c r="Z107" s="26" t="s">
        <v>43</v>
      </c>
      <c r="AE107" s="2" t="s">
        <v>116</v>
      </c>
      <c r="AF107" s="190"/>
      <c r="AG107" s="190"/>
      <c r="AH107" s="190"/>
      <c r="AI107" s="26" t="s">
        <v>43</v>
      </c>
      <c r="AL107" s="66" t="s">
        <v>52</v>
      </c>
      <c r="AM107" s="89">
        <f>IF(ISBLANK(F107),0,1)</f>
        <v>0</v>
      </c>
      <c r="AN107" s="66" t="s">
        <v>77</v>
      </c>
      <c r="AO107" s="89">
        <f>IF(ISBLANK(O107),0,1)</f>
        <v>0</v>
      </c>
      <c r="AP107" s="20"/>
      <c r="AV107" s="73"/>
      <c r="AW107" s="73"/>
      <c r="AX107" s="73"/>
      <c r="AY107" s="73"/>
      <c r="AZ107" s="73"/>
      <c r="BA107" s="73"/>
      <c r="BB107" s="73"/>
      <c r="BC107" s="73"/>
      <c r="BD107" s="73"/>
      <c r="BE107" s="73"/>
      <c r="BF107" s="73"/>
      <c r="BG107" s="73"/>
      <c r="BH107" s="73"/>
      <c r="BI107" s="73"/>
      <c r="BJ107" s="73"/>
      <c r="BK107" s="73"/>
      <c r="BL107" s="73"/>
      <c r="BM107" s="73"/>
      <c r="BN107" s="73"/>
      <c r="BO107" s="73"/>
      <c r="BP107" s="73"/>
      <c r="BQ107" s="73"/>
      <c r="BR107" s="73"/>
      <c r="BS107" s="73"/>
      <c r="BT107" s="73"/>
      <c r="BU107" s="73"/>
      <c r="BV107" s="73"/>
      <c r="BW107" s="73"/>
      <c r="BX107" s="73"/>
      <c r="BY107" s="73"/>
      <c r="BZ107" s="73"/>
      <c r="CA107" s="73"/>
      <c r="CB107" s="73"/>
      <c r="CC107" s="73"/>
      <c r="CD107" s="73"/>
      <c r="CE107" s="73"/>
      <c r="CF107" s="73"/>
      <c r="CG107" s="73"/>
      <c r="CH107" s="73"/>
      <c r="CI107" s="73"/>
      <c r="CJ107" s="73"/>
      <c r="CK107" s="73"/>
    </row>
    <row r="108" spans="2:90" ht="4.95" customHeight="1" x14ac:dyDescent="0.3">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L108" s="66"/>
      <c r="AV108" s="73"/>
      <c r="AW108" s="73"/>
      <c r="AX108" s="73"/>
      <c r="AY108" s="73"/>
      <c r="AZ108" s="73"/>
      <c r="BA108" s="73"/>
      <c r="BB108" s="73"/>
      <c r="BC108" s="73"/>
      <c r="BD108" s="73"/>
      <c r="BE108" s="73"/>
      <c r="BF108" s="73"/>
      <c r="BG108" s="73"/>
      <c r="BH108" s="73"/>
      <c r="BI108" s="73"/>
      <c r="BJ108" s="73"/>
      <c r="BK108" s="73"/>
      <c r="BL108" s="73"/>
      <c r="BM108" s="73"/>
      <c r="BN108" s="73"/>
      <c r="BO108" s="73"/>
      <c r="BP108" s="73"/>
      <c r="BQ108" s="73"/>
      <c r="BR108" s="73"/>
      <c r="BS108" s="73"/>
      <c r="BT108" s="73"/>
      <c r="BU108" s="73"/>
      <c r="BV108" s="73"/>
      <c r="BW108" s="73"/>
      <c r="BX108" s="73"/>
      <c r="BY108" s="73"/>
      <c r="BZ108" s="73"/>
      <c r="CA108" s="73"/>
      <c r="CB108" s="73"/>
      <c r="CC108" s="73"/>
      <c r="CD108" s="73"/>
      <c r="CE108" s="73"/>
      <c r="CF108" s="73"/>
      <c r="CG108" s="73"/>
      <c r="CH108" s="73"/>
      <c r="CI108" s="73"/>
      <c r="CJ108" s="73"/>
      <c r="CK108" s="73"/>
    </row>
    <row r="109" spans="2:90" ht="15" customHeight="1" x14ac:dyDescent="0.3">
      <c r="C109" s="1"/>
      <c r="D109" s="1"/>
      <c r="E109" s="1"/>
      <c r="F109" s="1"/>
      <c r="G109" s="1"/>
      <c r="H109" s="1"/>
      <c r="I109" s="1"/>
      <c r="AL109" s="66" t="s">
        <v>78</v>
      </c>
      <c r="AM109" s="89">
        <f>IF(ISBLANK(W107),0,1)</f>
        <v>0</v>
      </c>
      <c r="AN109" s="66" t="s">
        <v>79</v>
      </c>
      <c r="AO109" s="89">
        <f>IF(ISBLANK(AF107),0,1)</f>
        <v>0</v>
      </c>
      <c r="AP109" s="20"/>
      <c r="AV109" s="73"/>
      <c r="AW109" s="73"/>
      <c r="AX109" s="73"/>
      <c r="AY109" s="73"/>
      <c r="AZ109" s="73"/>
      <c r="BA109" s="73"/>
      <c r="BB109" s="73"/>
      <c r="BC109" s="73"/>
      <c r="BD109" s="73"/>
      <c r="BE109" s="73"/>
      <c r="BF109" s="73"/>
      <c r="BG109" s="73"/>
      <c r="BH109" s="73"/>
      <c r="BI109" s="73"/>
      <c r="BJ109" s="73"/>
      <c r="BK109" s="73"/>
      <c r="BL109" s="73"/>
      <c r="BM109" s="73"/>
      <c r="BN109" s="73"/>
      <c r="BO109" s="73"/>
      <c r="BP109" s="73"/>
      <c r="BQ109" s="73"/>
      <c r="BR109" s="73"/>
      <c r="BS109" s="73"/>
      <c r="BT109" s="73"/>
      <c r="BU109" s="73"/>
      <c r="BV109" s="73"/>
      <c r="BW109" s="73"/>
      <c r="BX109" s="73"/>
      <c r="BY109" s="73"/>
      <c r="BZ109" s="73"/>
      <c r="CA109" s="73"/>
      <c r="CB109" s="73"/>
      <c r="CC109" s="73"/>
      <c r="CD109" s="73"/>
      <c r="CE109" s="73"/>
      <c r="CF109" s="73"/>
      <c r="CG109" s="73"/>
      <c r="CH109" s="73"/>
      <c r="CI109" s="73"/>
      <c r="CJ109" s="73"/>
      <c r="CK109" s="73"/>
    </row>
    <row r="110" spans="2:90" ht="15" customHeight="1" x14ac:dyDescent="0.3">
      <c r="B110" s="1"/>
      <c r="C110" s="1"/>
      <c r="D110" s="1"/>
      <c r="E110" s="1"/>
      <c r="F110" s="1"/>
      <c r="G110" s="1"/>
      <c r="H110" s="1"/>
      <c r="I110" s="1"/>
      <c r="AL110" s="66"/>
      <c r="AM110" s="20"/>
      <c r="AN110" s="66"/>
      <c r="AO110" s="20"/>
      <c r="AP110" s="20"/>
      <c r="AV110" s="73"/>
      <c r="AW110" s="73"/>
      <c r="AX110" s="73"/>
      <c r="AY110" s="73"/>
      <c r="AZ110" s="73"/>
      <c r="BA110" s="73"/>
      <c r="BB110" s="73"/>
      <c r="BC110" s="73"/>
      <c r="BD110" s="73"/>
      <c r="BE110" s="73"/>
      <c r="BF110" s="73"/>
      <c r="BG110" s="73"/>
      <c r="BH110" s="73"/>
      <c r="BI110" s="73"/>
      <c r="BJ110" s="73"/>
      <c r="BK110" s="73"/>
      <c r="BL110" s="73"/>
      <c r="BM110" s="73"/>
      <c r="BN110" s="73"/>
      <c r="BO110" s="73"/>
      <c r="BP110" s="73"/>
      <c r="BQ110" s="73"/>
      <c r="BR110" s="73"/>
      <c r="BS110" s="73"/>
      <c r="BT110" s="73"/>
      <c r="BU110" s="73"/>
      <c r="BV110" s="73"/>
      <c r="BW110" s="73"/>
      <c r="BX110" s="73"/>
      <c r="BY110" s="73"/>
      <c r="BZ110" s="73"/>
      <c r="CA110" s="73"/>
      <c r="CB110" s="73"/>
      <c r="CC110" s="73"/>
      <c r="CD110" s="73"/>
      <c r="CE110" s="73"/>
      <c r="CF110" s="73"/>
      <c r="CG110" s="73"/>
      <c r="CH110" s="73"/>
      <c r="CI110" s="73"/>
      <c r="CJ110" s="73"/>
      <c r="CK110" s="73"/>
    </row>
    <row r="111" spans="2:90" ht="15" customHeight="1" x14ac:dyDescent="0.3">
      <c r="AL111" s="66"/>
      <c r="AM111" s="20"/>
      <c r="AN111" s="66"/>
      <c r="AO111" s="20"/>
      <c r="AP111" s="20"/>
      <c r="AV111" s="73"/>
      <c r="AW111" s="73"/>
      <c r="AX111" s="73"/>
      <c r="AY111" s="73"/>
      <c r="AZ111" s="73"/>
      <c r="BA111" s="73"/>
      <c r="BB111" s="73"/>
      <c r="BC111" s="73"/>
      <c r="BD111" s="73"/>
      <c r="BE111" s="73"/>
      <c r="BF111" s="73"/>
      <c r="BG111" s="73"/>
      <c r="BH111" s="73"/>
      <c r="BI111" s="73"/>
      <c r="BJ111" s="73"/>
      <c r="BK111" s="73"/>
      <c r="BL111" s="73"/>
      <c r="BM111" s="73"/>
      <c r="BN111" s="73"/>
      <c r="BO111" s="73"/>
      <c r="BP111" s="73"/>
      <c r="BQ111" s="73"/>
      <c r="BR111" s="73"/>
      <c r="BS111" s="73"/>
      <c r="BT111" s="73"/>
      <c r="BU111" s="73"/>
      <c r="BV111" s="73"/>
      <c r="BW111" s="73"/>
      <c r="BX111" s="73"/>
      <c r="BY111" s="73"/>
      <c r="BZ111" s="73"/>
      <c r="CA111" s="73"/>
      <c r="CB111" s="73"/>
      <c r="CC111" s="73"/>
      <c r="CD111" s="73"/>
      <c r="CE111" s="73"/>
      <c r="CF111" s="73"/>
      <c r="CG111" s="73"/>
      <c r="CH111" s="73"/>
      <c r="CI111" s="73"/>
      <c r="CJ111" s="73"/>
      <c r="CK111" s="73"/>
    </row>
    <row r="112" spans="2:90" ht="15" customHeight="1" x14ac:dyDescent="0.3">
      <c r="B112" s="194">
        <f>Tables!$F$13</f>
        <v>45931</v>
      </c>
      <c r="C112" s="194"/>
      <c r="D112" s="194"/>
      <c r="E112" s="194"/>
      <c r="F112" s="194"/>
      <c r="G112" s="194"/>
      <c r="H112" s="194"/>
      <c r="R112" s="195" t="s">
        <v>342</v>
      </c>
      <c r="S112" s="195"/>
      <c r="T112" s="195"/>
      <c r="U112" s="195"/>
      <c r="AK112" s="28"/>
      <c r="AL112" s="66"/>
      <c r="AM112" s="20"/>
      <c r="AN112" s="66"/>
      <c r="AO112" s="20"/>
      <c r="AP112" s="20"/>
      <c r="AV112" s="73"/>
      <c r="AW112" s="73"/>
      <c r="AX112" s="73"/>
      <c r="AY112" s="73"/>
      <c r="AZ112" s="73"/>
      <c r="BA112" s="73"/>
      <c r="BB112" s="73"/>
      <c r="BC112" s="73"/>
      <c r="BD112" s="73"/>
      <c r="BE112" s="73"/>
      <c r="BF112" s="73"/>
      <c r="BG112" s="73"/>
      <c r="BH112" s="73"/>
      <c r="BI112" s="73"/>
      <c r="BJ112" s="73"/>
      <c r="BK112" s="73"/>
      <c r="BL112" s="73"/>
      <c r="BM112" s="73"/>
      <c r="BN112" s="73"/>
      <c r="BO112" s="73"/>
      <c r="BP112" s="73"/>
      <c r="BQ112" s="73"/>
      <c r="BR112" s="73"/>
      <c r="BS112" s="73"/>
      <c r="BT112" s="73"/>
      <c r="BU112" s="73"/>
      <c r="BV112" s="73"/>
      <c r="BW112" s="73"/>
      <c r="BX112" s="73"/>
      <c r="BY112" s="73"/>
      <c r="BZ112" s="73"/>
      <c r="CA112" s="73"/>
      <c r="CB112" s="73"/>
      <c r="CC112" s="73"/>
      <c r="CD112" s="73"/>
      <c r="CE112" s="73"/>
      <c r="CF112" s="73"/>
      <c r="CG112" s="73"/>
      <c r="CH112" s="73"/>
      <c r="CI112" s="73"/>
      <c r="CJ112" s="73"/>
      <c r="CK112" s="73"/>
    </row>
    <row r="113" spans="2:89" ht="15" customHeight="1" x14ac:dyDescent="0.3">
      <c r="C113" s="2" t="s">
        <v>1</v>
      </c>
      <c r="D113" s="192">
        <f>IF(ISBLANK($E$7),0,$E$7)</f>
        <v>0</v>
      </c>
      <c r="E113" s="192"/>
      <c r="F113" s="192"/>
      <c r="G113" s="192"/>
      <c r="H113" s="192"/>
      <c r="I113" s="192"/>
      <c r="J113" s="192"/>
      <c r="K113" s="192"/>
      <c r="L113" s="192"/>
      <c r="M113" s="192"/>
      <c r="N113" s="192"/>
      <c r="O113" s="192"/>
      <c r="P113" s="192"/>
      <c r="Q113" s="192"/>
      <c r="R113" s="192"/>
      <c r="S113" s="192"/>
      <c r="T113" s="192"/>
      <c r="U113" s="192"/>
      <c r="V113" s="192"/>
      <c r="W113" s="192"/>
      <c r="X113" s="192"/>
      <c r="Y113" s="192"/>
      <c r="Z113" s="33"/>
      <c r="AD113" s="2" t="s">
        <v>21</v>
      </c>
      <c r="AE113" s="217">
        <f>IF(ISBLANK($AE$7),0,$AE$7)</f>
        <v>0</v>
      </c>
      <c r="AF113" s="217"/>
      <c r="AG113" s="217"/>
      <c r="AH113" s="217"/>
      <c r="AI113" s="217"/>
      <c r="AJ113" s="217"/>
      <c r="AL113" s="66"/>
      <c r="AM113" s="20"/>
      <c r="AN113" s="66"/>
      <c r="AO113" s="20"/>
      <c r="AP113" s="20"/>
      <c r="AV113" s="73"/>
      <c r="AW113" s="73"/>
      <c r="AX113" s="73"/>
      <c r="AY113" s="73"/>
      <c r="AZ113" s="73"/>
      <c r="BA113" s="73"/>
      <c r="BB113" s="73"/>
      <c r="BC113" s="73"/>
      <c r="BD113" s="73"/>
      <c r="BE113" s="73"/>
      <c r="BF113" s="73"/>
      <c r="BG113" s="73"/>
      <c r="BH113" s="73"/>
      <c r="BI113" s="73"/>
      <c r="BJ113" s="73"/>
      <c r="BK113" s="73"/>
      <c r="BL113" s="73"/>
      <c r="BM113" s="73"/>
      <c r="BN113" s="73"/>
      <c r="BO113" s="73"/>
      <c r="BP113" s="73"/>
      <c r="BQ113" s="73"/>
      <c r="BR113" s="73"/>
      <c r="BS113" s="73"/>
      <c r="BT113" s="73"/>
      <c r="BU113" s="73"/>
      <c r="BV113" s="73"/>
      <c r="BW113" s="73"/>
      <c r="BX113" s="73"/>
      <c r="BY113" s="73"/>
      <c r="BZ113" s="73"/>
      <c r="CA113" s="73"/>
      <c r="CB113" s="73"/>
      <c r="CC113" s="73"/>
      <c r="CD113" s="73"/>
      <c r="CE113" s="73"/>
      <c r="CF113" s="73"/>
      <c r="CG113" s="73"/>
      <c r="CH113" s="73"/>
      <c r="CI113" s="73"/>
      <c r="CJ113" s="73"/>
      <c r="CK113" s="73"/>
    </row>
    <row r="114" spans="2:89" ht="15" customHeight="1" x14ac:dyDescent="0.3">
      <c r="C114" s="34"/>
      <c r="D114" s="34"/>
      <c r="E114" s="34"/>
      <c r="F114" s="34"/>
      <c r="G114" s="34"/>
      <c r="H114" s="34"/>
      <c r="I114" s="34"/>
      <c r="J114" s="2"/>
      <c r="K114" s="2"/>
      <c r="L114" s="2"/>
      <c r="M114" s="2"/>
      <c r="N114" s="34"/>
      <c r="O114" s="33"/>
      <c r="P114" s="33"/>
      <c r="Q114" s="33"/>
      <c r="R114" s="33"/>
      <c r="S114" s="33"/>
      <c r="T114" s="33"/>
      <c r="U114" s="33"/>
      <c r="V114" s="33"/>
      <c r="W114" s="33"/>
      <c r="X114" s="33"/>
      <c r="Y114" s="33"/>
      <c r="Z114" s="33"/>
      <c r="AD114" s="2" t="s">
        <v>34</v>
      </c>
      <c r="AE114" s="216">
        <f>IF(ISBLANK($AE$8),0,$AE$8)</f>
        <v>0</v>
      </c>
      <c r="AF114" s="216"/>
      <c r="AG114" s="216"/>
      <c r="AH114" s="216"/>
      <c r="AI114" s="216"/>
      <c r="AJ114" s="216"/>
      <c r="AL114" s="66"/>
      <c r="AM114" s="20"/>
      <c r="AN114" s="66"/>
      <c r="AO114" s="20"/>
      <c r="AP114" s="20"/>
      <c r="AV114" s="73"/>
      <c r="AW114" s="73"/>
      <c r="AX114" s="73"/>
      <c r="AY114" s="73"/>
      <c r="AZ114" s="73"/>
      <c r="BA114" s="73"/>
      <c r="BB114" s="73"/>
      <c r="BC114" s="73"/>
      <c r="BD114" s="73"/>
      <c r="BE114" s="73"/>
      <c r="BF114" s="73"/>
      <c r="BG114" s="73"/>
      <c r="BH114" s="73"/>
      <c r="BI114" s="73"/>
      <c r="BJ114" s="73"/>
      <c r="BK114" s="73"/>
      <c r="BL114" s="73"/>
      <c r="BM114" s="73"/>
      <c r="BN114" s="73"/>
      <c r="BO114" s="73"/>
      <c r="BP114" s="73"/>
      <c r="BQ114" s="73"/>
      <c r="BR114" s="73"/>
      <c r="BS114" s="73"/>
      <c r="BT114" s="73"/>
      <c r="BU114" s="73"/>
      <c r="BV114" s="73"/>
      <c r="BW114" s="73"/>
      <c r="BX114" s="73"/>
      <c r="BY114" s="73"/>
      <c r="BZ114" s="73"/>
      <c r="CA114" s="73"/>
      <c r="CB114" s="73"/>
      <c r="CC114" s="73"/>
      <c r="CD114" s="73"/>
      <c r="CE114" s="73"/>
      <c r="CF114" s="73"/>
      <c r="CG114" s="73"/>
      <c r="CH114" s="73"/>
      <c r="CI114" s="73"/>
      <c r="CJ114" s="73"/>
      <c r="CK114" s="73"/>
    </row>
    <row r="115" spans="2:89" ht="15" customHeight="1" x14ac:dyDescent="0.3">
      <c r="B115" s="1" t="s">
        <v>227</v>
      </c>
      <c r="C115" s="1"/>
      <c r="D115" s="1"/>
      <c r="E115" s="1"/>
      <c r="F115" s="1"/>
      <c r="G115" s="1"/>
      <c r="H115" s="1"/>
      <c r="I115" s="1"/>
      <c r="AL115" s="66"/>
      <c r="AM115" s="20"/>
      <c r="AN115" s="66"/>
      <c r="AO115" s="20"/>
      <c r="AP115" s="20"/>
      <c r="AV115" s="73"/>
      <c r="AW115" s="73"/>
      <c r="AX115" s="73"/>
      <c r="AY115" s="73"/>
      <c r="AZ115" s="73"/>
      <c r="BA115" s="73"/>
      <c r="BB115" s="73"/>
      <c r="BC115" s="73"/>
      <c r="BD115" s="73"/>
      <c r="BE115" s="73"/>
      <c r="BF115" s="73"/>
      <c r="BG115" s="73"/>
      <c r="BH115" s="73"/>
      <c r="BI115" s="73"/>
      <c r="BJ115" s="73"/>
      <c r="BK115" s="73"/>
      <c r="BL115" s="73"/>
      <c r="BM115" s="73"/>
      <c r="BN115" s="73"/>
      <c r="BO115" s="73"/>
      <c r="BP115" s="73"/>
      <c r="BQ115" s="73"/>
      <c r="BR115" s="73"/>
      <c r="BS115" s="73"/>
      <c r="BT115" s="73"/>
      <c r="BU115" s="73"/>
      <c r="BV115" s="73"/>
      <c r="BW115" s="73"/>
      <c r="BX115" s="73"/>
      <c r="BY115" s="73"/>
      <c r="BZ115" s="73"/>
      <c r="CA115" s="73"/>
      <c r="CB115" s="73"/>
      <c r="CC115" s="73"/>
      <c r="CD115" s="73"/>
      <c r="CE115" s="73"/>
      <c r="CF115" s="73"/>
      <c r="CG115" s="73"/>
      <c r="CH115" s="73"/>
      <c r="CI115" s="73"/>
      <c r="CJ115" s="73"/>
      <c r="CK115" s="73"/>
    </row>
    <row r="116" spans="2:89" ht="15" customHeight="1" x14ac:dyDescent="0.3">
      <c r="C116" s="195" t="s">
        <v>17</v>
      </c>
      <c r="D116" s="195"/>
      <c r="E116" s="195"/>
      <c r="F116" s="4"/>
      <c r="G116" s="4"/>
      <c r="H116" s="4"/>
      <c r="I116" s="4" t="s">
        <v>18</v>
      </c>
      <c r="K116" s="4"/>
      <c r="L116" s="4"/>
      <c r="M116" s="26" t="s">
        <v>49</v>
      </c>
      <c r="T116" s="4" t="s">
        <v>17</v>
      </c>
      <c r="V116" s="4"/>
      <c r="W116" s="4"/>
      <c r="Y116" s="4" t="s">
        <v>18</v>
      </c>
      <c r="Z116" s="4"/>
      <c r="AB116" s="26" t="s">
        <v>49</v>
      </c>
      <c r="AV116" s="73"/>
      <c r="AW116" s="73"/>
      <c r="AX116" s="73"/>
      <c r="AY116" s="73"/>
      <c r="AZ116" s="73"/>
      <c r="BA116" s="73"/>
      <c r="BB116" s="73"/>
      <c r="BC116" s="73"/>
      <c r="BD116" s="73"/>
      <c r="BE116" s="73"/>
      <c r="BF116" s="73"/>
      <c r="BG116" s="73"/>
      <c r="BH116" s="73"/>
      <c r="BI116" s="73"/>
      <c r="BJ116" s="73"/>
      <c r="BK116" s="73"/>
      <c r="BL116" s="73"/>
      <c r="BM116" s="73"/>
      <c r="BN116" s="73"/>
      <c r="BO116" s="73"/>
      <c r="BP116" s="73"/>
      <c r="BQ116" s="73"/>
      <c r="BR116" s="73"/>
      <c r="BS116" s="73"/>
      <c r="BT116" s="73"/>
      <c r="BU116" s="73"/>
      <c r="BV116" s="73"/>
      <c r="BW116" s="73"/>
      <c r="BX116" s="73"/>
      <c r="BY116" s="73"/>
      <c r="BZ116" s="73"/>
      <c r="CA116" s="73"/>
      <c r="CB116" s="73"/>
      <c r="CC116" s="73"/>
      <c r="CD116" s="73"/>
      <c r="CE116" s="73"/>
      <c r="CF116" s="73"/>
      <c r="CG116" s="73"/>
      <c r="CH116" s="73"/>
      <c r="CI116" s="73"/>
      <c r="CJ116" s="73"/>
      <c r="CK116" s="73"/>
    </row>
    <row r="117" spans="2:89" ht="14.55" customHeight="1" x14ac:dyDescent="0.3">
      <c r="C117" s="190"/>
      <c r="D117" s="190"/>
      <c r="E117" s="190"/>
      <c r="F117" s="26" t="s">
        <v>43</v>
      </c>
      <c r="H117" s="186"/>
      <c r="I117" s="186"/>
      <c r="J117" s="186"/>
      <c r="K117" s="26" t="s">
        <v>39</v>
      </c>
      <c r="M117" s="186"/>
      <c r="N117" s="186"/>
      <c r="O117" s="186"/>
      <c r="P117" s="186"/>
      <c r="Q117" s="26" t="s">
        <v>37</v>
      </c>
      <c r="S117" s="190"/>
      <c r="T117" s="190"/>
      <c r="U117" s="190"/>
      <c r="V117" s="26" t="s">
        <v>43</v>
      </c>
      <c r="W117" s="28"/>
      <c r="X117" s="186"/>
      <c r="Y117" s="186"/>
      <c r="Z117" s="186"/>
      <c r="AA117" s="26" t="s">
        <v>39</v>
      </c>
      <c r="AC117" s="186"/>
      <c r="AD117" s="186"/>
      <c r="AE117" s="186"/>
      <c r="AF117" s="186"/>
      <c r="AG117" s="26" t="s">
        <v>37</v>
      </c>
      <c r="AL117" s="89">
        <f t="shared" ref="AL117:AL123" si="6">IF(ISBLANK(C117),1,2)</f>
        <v>1</v>
      </c>
      <c r="AM117" s="89">
        <f t="shared" ref="AM117:AM123" si="7">IF(ISBLANK(S117),1,2)</f>
        <v>1</v>
      </c>
      <c r="AN117" s="89">
        <f>IF(ISBLANK(H117),1,2)</f>
        <v>1</v>
      </c>
      <c r="AO117" s="89">
        <f>IF(ISBLANK(M117),1,2)</f>
        <v>1</v>
      </c>
      <c r="AP117" s="20"/>
      <c r="AV117" s="73"/>
      <c r="AW117" s="73"/>
      <c r="AX117" s="73"/>
      <c r="AY117" s="73"/>
      <c r="AZ117" s="73"/>
      <c r="BA117" s="73"/>
      <c r="BB117" s="73"/>
      <c r="BC117" s="73"/>
      <c r="BD117" s="73"/>
      <c r="BE117" s="73"/>
      <c r="BF117" s="73"/>
      <c r="BG117" s="73"/>
      <c r="BH117" s="73"/>
      <c r="BI117" s="73"/>
      <c r="BJ117" s="73"/>
      <c r="BK117" s="73"/>
      <c r="BL117" s="73"/>
      <c r="BM117" s="73"/>
      <c r="BN117" s="73"/>
      <c r="BO117" s="73"/>
      <c r="BP117" s="73"/>
      <c r="BQ117" s="73"/>
      <c r="BR117" s="73"/>
      <c r="BS117" s="73"/>
      <c r="BT117" s="73"/>
      <c r="BU117" s="73"/>
      <c r="BV117" s="73"/>
      <c r="BW117" s="73"/>
      <c r="BX117" s="73"/>
      <c r="BY117" s="73"/>
      <c r="BZ117" s="73"/>
      <c r="CA117" s="73"/>
      <c r="CB117" s="73"/>
      <c r="CC117" s="73"/>
      <c r="CD117" s="73"/>
      <c r="CE117" s="73"/>
      <c r="CF117" s="73"/>
      <c r="CG117" s="73"/>
      <c r="CH117" s="73"/>
      <c r="CI117" s="73"/>
      <c r="CJ117" s="73"/>
      <c r="CK117" s="73"/>
    </row>
    <row r="118" spans="2:89" ht="14.55" customHeight="1" x14ac:dyDescent="0.3">
      <c r="C118" s="183"/>
      <c r="D118" s="183"/>
      <c r="E118" s="183"/>
      <c r="F118" s="26" t="s">
        <v>43</v>
      </c>
      <c r="H118" s="187"/>
      <c r="I118" s="187"/>
      <c r="J118" s="187"/>
      <c r="K118" s="26" t="s">
        <v>39</v>
      </c>
      <c r="M118" s="187"/>
      <c r="N118" s="187"/>
      <c r="O118" s="187"/>
      <c r="P118" s="187"/>
      <c r="Q118" s="26" t="s">
        <v>37</v>
      </c>
      <c r="S118" s="183"/>
      <c r="T118" s="183"/>
      <c r="U118" s="183"/>
      <c r="V118" s="26" t="s">
        <v>43</v>
      </c>
      <c r="W118" s="28"/>
      <c r="X118" s="187"/>
      <c r="Y118" s="187"/>
      <c r="Z118" s="187"/>
      <c r="AA118" s="26" t="s">
        <v>39</v>
      </c>
      <c r="AC118" s="187"/>
      <c r="AD118" s="187"/>
      <c r="AE118" s="187"/>
      <c r="AF118" s="187"/>
      <c r="AG118" s="26" t="s">
        <v>37</v>
      </c>
      <c r="AL118" s="89">
        <f t="shared" si="6"/>
        <v>1</v>
      </c>
      <c r="AM118" s="89">
        <f t="shared" si="7"/>
        <v>1</v>
      </c>
      <c r="AV118" s="73"/>
      <c r="AW118" s="73"/>
      <c r="AX118" s="73"/>
      <c r="AY118" s="73"/>
      <c r="AZ118" s="73"/>
      <c r="BA118" s="73"/>
      <c r="BB118" s="73"/>
      <c r="BC118" s="73"/>
      <c r="BD118" s="73"/>
      <c r="BE118" s="73"/>
      <c r="BF118" s="73"/>
      <c r="BG118" s="73"/>
      <c r="BH118" s="73"/>
      <c r="BI118" s="73"/>
      <c r="BJ118" s="73"/>
      <c r="BK118" s="73"/>
      <c r="BL118" s="73"/>
      <c r="BM118" s="73"/>
      <c r="BN118" s="73"/>
      <c r="BO118" s="73"/>
      <c r="BP118" s="73"/>
      <c r="BQ118" s="73"/>
      <c r="BR118" s="73"/>
      <c r="BS118" s="73"/>
      <c r="BT118" s="73"/>
      <c r="BU118" s="73"/>
      <c r="BV118" s="73"/>
      <c r="BW118" s="73"/>
      <c r="BX118" s="73"/>
      <c r="BY118" s="73"/>
      <c r="BZ118" s="73"/>
      <c r="CA118" s="73"/>
      <c r="CB118" s="73"/>
      <c r="CC118" s="73"/>
      <c r="CD118" s="73"/>
      <c r="CE118" s="73"/>
      <c r="CF118" s="73"/>
      <c r="CG118" s="73"/>
      <c r="CH118" s="73"/>
      <c r="CI118" s="73"/>
      <c r="CJ118" s="73"/>
      <c r="CK118" s="73"/>
    </row>
    <row r="119" spans="2:89" ht="14.55" customHeight="1" x14ac:dyDescent="0.3">
      <c r="C119" s="183"/>
      <c r="D119" s="183"/>
      <c r="E119" s="183"/>
      <c r="F119" s="26" t="s">
        <v>43</v>
      </c>
      <c r="H119" s="187"/>
      <c r="I119" s="187"/>
      <c r="J119" s="187"/>
      <c r="K119" s="26" t="s">
        <v>39</v>
      </c>
      <c r="M119" s="187"/>
      <c r="N119" s="187"/>
      <c r="O119" s="187"/>
      <c r="P119" s="187"/>
      <c r="Q119" s="26" t="s">
        <v>37</v>
      </c>
      <c r="S119" s="183"/>
      <c r="T119" s="183"/>
      <c r="U119" s="183"/>
      <c r="V119" s="26" t="s">
        <v>43</v>
      </c>
      <c r="W119" s="28"/>
      <c r="X119" s="187"/>
      <c r="Y119" s="187"/>
      <c r="Z119" s="187"/>
      <c r="AA119" s="26" t="s">
        <v>39</v>
      </c>
      <c r="AC119" s="187"/>
      <c r="AD119" s="187"/>
      <c r="AE119" s="187"/>
      <c r="AF119" s="187"/>
      <c r="AG119" s="26" t="s">
        <v>37</v>
      </c>
      <c r="AL119" s="89">
        <f t="shared" si="6"/>
        <v>1</v>
      </c>
      <c r="AM119" s="89">
        <f t="shared" si="7"/>
        <v>1</v>
      </c>
      <c r="AV119" s="73"/>
      <c r="AW119" s="73"/>
      <c r="AX119" s="73"/>
      <c r="AY119" s="73"/>
      <c r="AZ119" s="73"/>
      <c r="BA119" s="73"/>
      <c r="BB119" s="73"/>
      <c r="BC119" s="73"/>
      <c r="BD119" s="73"/>
      <c r="BE119" s="73"/>
      <c r="BF119" s="73"/>
      <c r="BG119" s="73"/>
      <c r="BH119" s="73"/>
      <c r="BI119" s="73"/>
      <c r="BJ119" s="73"/>
      <c r="BK119" s="73"/>
      <c r="BL119" s="73"/>
      <c r="BM119" s="73"/>
      <c r="BN119" s="73"/>
      <c r="BO119" s="73"/>
      <c r="BP119" s="73"/>
      <c r="BQ119" s="73"/>
      <c r="BR119" s="73"/>
      <c r="BS119" s="73"/>
      <c r="BT119" s="73"/>
      <c r="BU119" s="73"/>
      <c r="BV119" s="73"/>
      <c r="BW119" s="73"/>
      <c r="BX119" s="73"/>
      <c r="BY119" s="73"/>
      <c r="BZ119" s="73"/>
      <c r="CA119" s="73"/>
      <c r="CB119" s="73"/>
      <c r="CC119" s="73"/>
      <c r="CD119" s="73"/>
      <c r="CE119" s="73"/>
      <c r="CF119" s="73"/>
      <c r="CG119" s="73"/>
      <c r="CH119" s="73"/>
      <c r="CI119" s="73"/>
      <c r="CJ119" s="73"/>
      <c r="CK119" s="73"/>
    </row>
    <row r="120" spans="2:89" ht="14.55" customHeight="1" x14ac:dyDescent="0.3">
      <c r="C120" s="183"/>
      <c r="D120" s="183"/>
      <c r="E120" s="183"/>
      <c r="F120" s="26" t="s">
        <v>43</v>
      </c>
      <c r="H120" s="187"/>
      <c r="I120" s="187"/>
      <c r="J120" s="187"/>
      <c r="K120" s="26" t="s">
        <v>39</v>
      </c>
      <c r="M120" s="187"/>
      <c r="N120" s="187"/>
      <c r="O120" s="187"/>
      <c r="P120" s="187"/>
      <c r="Q120" s="26" t="s">
        <v>37</v>
      </c>
      <c r="S120" s="183"/>
      <c r="T120" s="183"/>
      <c r="U120" s="183"/>
      <c r="V120" s="26" t="s">
        <v>43</v>
      </c>
      <c r="W120" s="28"/>
      <c r="X120" s="187"/>
      <c r="Y120" s="187"/>
      <c r="Z120" s="187"/>
      <c r="AA120" s="26" t="s">
        <v>39</v>
      </c>
      <c r="AC120" s="187"/>
      <c r="AD120" s="187"/>
      <c r="AE120" s="187"/>
      <c r="AF120" s="187"/>
      <c r="AG120" s="26" t="s">
        <v>37</v>
      </c>
      <c r="AL120" s="89">
        <f t="shared" si="6"/>
        <v>1</v>
      </c>
      <c r="AM120" s="89">
        <f t="shared" si="7"/>
        <v>1</v>
      </c>
      <c r="AV120" s="73"/>
      <c r="AW120" s="73"/>
      <c r="AX120" s="73"/>
      <c r="AY120" s="73"/>
      <c r="AZ120" s="73"/>
      <c r="BA120" s="73"/>
      <c r="BB120" s="73"/>
      <c r="BC120" s="73"/>
      <c r="BD120" s="73"/>
      <c r="BE120" s="73"/>
      <c r="BF120" s="73"/>
      <c r="BG120" s="73"/>
      <c r="BH120" s="73"/>
      <c r="BI120" s="73"/>
      <c r="BJ120" s="73"/>
      <c r="BK120" s="73"/>
      <c r="BL120" s="73"/>
      <c r="BM120" s="73"/>
      <c r="BN120" s="73"/>
      <c r="BO120" s="73"/>
      <c r="BP120" s="73"/>
      <c r="BQ120" s="73"/>
      <c r="BR120" s="73"/>
      <c r="BS120" s="73"/>
      <c r="BT120" s="73"/>
      <c r="BU120" s="73"/>
      <c r="BV120" s="73"/>
      <c r="BW120" s="73"/>
      <c r="BX120" s="73"/>
      <c r="BY120" s="73"/>
      <c r="BZ120" s="73"/>
      <c r="CA120" s="73"/>
      <c r="CB120" s="73"/>
      <c r="CC120" s="73"/>
      <c r="CD120" s="73"/>
      <c r="CE120" s="73"/>
      <c r="CF120" s="73"/>
      <c r="CG120" s="73"/>
      <c r="CH120" s="73"/>
      <c r="CI120" s="73"/>
      <c r="CJ120" s="73"/>
      <c r="CK120" s="73"/>
    </row>
    <row r="121" spans="2:89" ht="14.55" customHeight="1" x14ac:dyDescent="0.3">
      <c r="C121" s="183"/>
      <c r="D121" s="183"/>
      <c r="E121" s="183"/>
      <c r="F121" s="26" t="s">
        <v>43</v>
      </c>
      <c r="H121" s="187"/>
      <c r="I121" s="187"/>
      <c r="J121" s="187"/>
      <c r="K121" s="26" t="s">
        <v>39</v>
      </c>
      <c r="M121" s="187"/>
      <c r="N121" s="187"/>
      <c r="O121" s="187"/>
      <c r="P121" s="187"/>
      <c r="Q121" s="26" t="s">
        <v>37</v>
      </c>
      <c r="S121" s="183"/>
      <c r="T121" s="183"/>
      <c r="U121" s="183"/>
      <c r="V121" s="26" t="s">
        <v>43</v>
      </c>
      <c r="W121" s="28"/>
      <c r="X121" s="187"/>
      <c r="Y121" s="187"/>
      <c r="Z121" s="187"/>
      <c r="AA121" s="26" t="s">
        <v>39</v>
      </c>
      <c r="AC121" s="187"/>
      <c r="AD121" s="187"/>
      <c r="AE121" s="187"/>
      <c r="AF121" s="187"/>
      <c r="AG121" s="26" t="s">
        <v>37</v>
      </c>
      <c r="AL121" s="89">
        <f t="shared" si="6"/>
        <v>1</v>
      </c>
      <c r="AM121" s="89">
        <f t="shared" si="7"/>
        <v>1</v>
      </c>
      <c r="AV121" s="73"/>
      <c r="AW121" s="73"/>
      <c r="AX121" s="73"/>
      <c r="AY121" s="73"/>
      <c r="AZ121" s="73"/>
      <c r="BA121" s="73"/>
      <c r="BB121" s="73"/>
      <c r="BC121" s="73"/>
      <c r="BD121" s="73"/>
      <c r="BE121" s="73"/>
      <c r="BF121" s="73"/>
      <c r="BG121" s="73"/>
      <c r="BH121" s="73"/>
      <c r="BI121" s="73"/>
      <c r="BJ121" s="73"/>
      <c r="BK121" s="73"/>
      <c r="BL121" s="73"/>
      <c r="BM121" s="73"/>
      <c r="BN121" s="73"/>
      <c r="BO121" s="73"/>
      <c r="BP121" s="73"/>
      <c r="BQ121" s="73"/>
      <c r="BR121" s="73"/>
      <c r="BS121" s="73"/>
      <c r="BT121" s="73"/>
      <c r="BU121" s="73"/>
      <c r="BV121" s="73"/>
      <c r="BW121" s="73"/>
      <c r="BX121" s="73"/>
      <c r="BY121" s="73"/>
      <c r="BZ121" s="73"/>
      <c r="CA121" s="73"/>
      <c r="CB121" s="73"/>
      <c r="CC121" s="73"/>
      <c r="CD121" s="73"/>
      <c r="CE121" s="73"/>
      <c r="CF121" s="73"/>
      <c r="CG121" s="73"/>
      <c r="CH121" s="73"/>
      <c r="CI121" s="73"/>
      <c r="CJ121" s="73"/>
      <c r="CK121" s="73"/>
    </row>
    <row r="122" spans="2:89" ht="14.55" customHeight="1" x14ac:dyDescent="0.3">
      <c r="C122" s="183"/>
      <c r="D122" s="183"/>
      <c r="E122" s="183"/>
      <c r="F122" s="26" t="s">
        <v>43</v>
      </c>
      <c r="H122" s="187"/>
      <c r="I122" s="187"/>
      <c r="J122" s="187"/>
      <c r="K122" s="26" t="s">
        <v>39</v>
      </c>
      <c r="M122" s="187"/>
      <c r="N122" s="187"/>
      <c r="O122" s="187"/>
      <c r="P122" s="187"/>
      <c r="Q122" s="26" t="s">
        <v>37</v>
      </c>
      <c r="S122" s="183"/>
      <c r="T122" s="183"/>
      <c r="U122" s="183"/>
      <c r="V122" s="26" t="s">
        <v>43</v>
      </c>
      <c r="W122" s="28"/>
      <c r="X122" s="187"/>
      <c r="Y122" s="187"/>
      <c r="Z122" s="187"/>
      <c r="AA122" s="26" t="s">
        <v>39</v>
      </c>
      <c r="AC122" s="187"/>
      <c r="AD122" s="187"/>
      <c r="AE122" s="187"/>
      <c r="AF122" s="187"/>
      <c r="AG122" s="26" t="s">
        <v>37</v>
      </c>
      <c r="AL122" s="89">
        <f t="shared" si="6"/>
        <v>1</v>
      </c>
      <c r="AM122" s="89">
        <f t="shared" si="7"/>
        <v>1</v>
      </c>
      <c r="AV122" s="73"/>
      <c r="AW122" s="73"/>
      <c r="AX122" s="73"/>
      <c r="AY122" s="73"/>
      <c r="AZ122" s="73"/>
      <c r="BA122" s="73"/>
      <c r="BB122" s="73"/>
      <c r="BC122" s="73"/>
      <c r="BD122" s="73"/>
      <c r="BE122" s="73"/>
      <c r="BF122" s="73"/>
      <c r="BG122" s="73"/>
      <c r="BH122" s="73"/>
      <c r="BI122" s="73"/>
      <c r="BJ122" s="73"/>
      <c r="BK122" s="73"/>
      <c r="BL122" s="73"/>
      <c r="BM122" s="73"/>
      <c r="BN122" s="73"/>
      <c r="BO122" s="73"/>
      <c r="BP122" s="73"/>
      <c r="BQ122" s="73"/>
      <c r="BR122" s="73"/>
      <c r="BS122" s="73"/>
      <c r="BT122" s="73"/>
      <c r="BU122" s="73"/>
      <c r="BV122" s="73"/>
      <c r="BW122" s="73"/>
      <c r="BX122" s="73"/>
      <c r="BY122" s="73"/>
      <c r="BZ122" s="73"/>
      <c r="CA122" s="73"/>
      <c r="CB122" s="73"/>
      <c r="CC122" s="73"/>
      <c r="CD122" s="73"/>
      <c r="CE122" s="73"/>
      <c r="CF122" s="73"/>
      <c r="CG122" s="73"/>
      <c r="CH122" s="73"/>
      <c r="CI122" s="73"/>
      <c r="CJ122" s="73"/>
      <c r="CK122" s="73"/>
    </row>
    <row r="123" spans="2:89" ht="14.55" customHeight="1" x14ac:dyDescent="0.3">
      <c r="C123" s="183"/>
      <c r="D123" s="183"/>
      <c r="E123" s="183"/>
      <c r="F123" s="26" t="s">
        <v>43</v>
      </c>
      <c r="H123" s="187"/>
      <c r="I123" s="187"/>
      <c r="J123" s="187"/>
      <c r="K123" s="26" t="s">
        <v>39</v>
      </c>
      <c r="M123" s="187"/>
      <c r="N123" s="187"/>
      <c r="O123" s="187"/>
      <c r="P123" s="187"/>
      <c r="Q123" s="26" t="s">
        <v>37</v>
      </c>
      <c r="S123" s="183"/>
      <c r="T123" s="183"/>
      <c r="U123" s="183"/>
      <c r="V123" s="26" t="s">
        <v>43</v>
      </c>
      <c r="W123" s="28"/>
      <c r="X123" s="187"/>
      <c r="Y123" s="187"/>
      <c r="Z123" s="187"/>
      <c r="AA123" s="26" t="s">
        <v>39</v>
      </c>
      <c r="AC123" s="187"/>
      <c r="AD123" s="187"/>
      <c r="AE123" s="187"/>
      <c r="AF123" s="187"/>
      <c r="AG123" s="26" t="s">
        <v>37</v>
      </c>
      <c r="AL123" s="89">
        <f t="shared" si="6"/>
        <v>1</v>
      </c>
      <c r="AM123" s="89">
        <f t="shared" si="7"/>
        <v>1</v>
      </c>
      <c r="AV123" s="73"/>
      <c r="AW123" s="73"/>
      <c r="AX123" s="73"/>
      <c r="AY123" s="73"/>
      <c r="AZ123" s="73"/>
      <c r="BA123" s="73"/>
      <c r="BB123" s="73"/>
      <c r="BC123" s="73"/>
      <c r="BD123" s="73"/>
      <c r="BE123" s="73"/>
      <c r="BF123" s="73"/>
      <c r="BG123" s="73"/>
      <c r="BH123" s="73"/>
      <c r="BI123" s="73"/>
      <c r="BJ123" s="73"/>
      <c r="BK123" s="73"/>
      <c r="BL123" s="73"/>
      <c r="BM123" s="73"/>
      <c r="BN123" s="73"/>
      <c r="BO123" s="73"/>
      <c r="BP123" s="73"/>
      <c r="BQ123" s="73"/>
      <c r="BR123" s="73"/>
      <c r="BS123" s="73"/>
      <c r="BT123" s="73"/>
      <c r="BU123" s="73"/>
      <c r="BV123" s="73"/>
      <c r="BW123" s="73"/>
      <c r="BX123" s="73"/>
      <c r="BY123" s="73"/>
      <c r="BZ123" s="73"/>
      <c r="CA123" s="73"/>
      <c r="CB123" s="73"/>
      <c r="CC123" s="73"/>
      <c r="CD123" s="73"/>
      <c r="CE123" s="73"/>
      <c r="CF123" s="73"/>
      <c r="CG123" s="73"/>
      <c r="CH123" s="73"/>
      <c r="CI123" s="73"/>
      <c r="CJ123" s="73"/>
      <c r="CK123" s="73"/>
    </row>
    <row r="124" spans="2:89" ht="14.55" customHeight="1" x14ac:dyDescent="0.3">
      <c r="G124" s="27" t="s">
        <v>50</v>
      </c>
      <c r="H124" s="221">
        <f>$W$21</f>
        <v>0</v>
      </c>
      <c r="I124" s="221"/>
      <c r="J124" s="221"/>
      <c r="K124" s="26" t="s">
        <v>37</v>
      </c>
      <c r="O124" s="69"/>
      <c r="P124" s="35"/>
      <c r="R124" s="27" t="s">
        <v>51</v>
      </c>
      <c r="S124" s="187"/>
      <c r="T124" s="187"/>
      <c r="U124" s="187"/>
      <c r="V124" s="26" t="s">
        <v>37</v>
      </c>
      <c r="AB124" s="35" t="s">
        <v>271</v>
      </c>
      <c r="AC124" s="182"/>
      <c r="AD124" s="182"/>
      <c r="AE124" s="182"/>
      <c r="AF124" s="182"/>
      <c r="AG124" s="26" t="s">
        <v>43</v>
      </c>
      <c r="AL124" s="66" t="s">
        <v>147</v>
      </c>
      <c r="AM124" s="89">
        <f>IF(OR(S124=H124,S124&gt;H124),1,2)</f>
        <v>1</v>
      </c>
      <c r="AV124" s="73"/>
      <c r="AW124" s="73"/>
      <c r="AX124" s="73"/>
      <c r="AY124" s="73"/>
      <c r="AZ124" s="73"/>
      <c r="BA124" s="73"/>
      <c r="BB124" s="73"/>
      <c r="BC124" s="73"/>
      <c r="BD124" s="73"/>
      <c r="BE124" s="73"/>
      <c r="BF124" s="73"/>
      <c r="BG124" s="73"/>
      <c r="BH124" s="73"/>
      <c r="BI124" s="73"/>
      <c r="BJ124" s="73"/>
      <c r="BK124" s="73"/>
      <c r="BL124" s="73"/>
      <c r="BM124" s="73"/>
      <c r="BN124" s="73"/>
      <c r="BO124" s="73"/>
      <c r="BP124" s="73"/>
      <c r="BQ124" s="73"/>
      <c r="BR124" s="73"/>
      <c r="BS124" s="73"/>
      <c r="BT124" s="73"/>
      <c r="BU124" s="73"/>
      <c r="BV124" s="73"/>
      <c r="BW124" s="73"/>
      <c r="BX124" s="73"/>
      <c r="BY124" s="73"/>
      <c r="BZ124" s="73"/>
      <c r="CA124" s="73"/>
      <c r="CB124" s="73"/>
      <c r="CC124" s="73"/>
      <c r="CD124" s="73"/>
      <c r="CE124" s="73"/>
      <c r="CF124" s="73"/>
      <c r="CG124" s="73"/>
      <c r="CH124" s="73"/>
      <c r="CI124" s="73"/>
      <c r="CJ124" s="73"/>
      <c r="CK124" s="73"/>
    </row>
    <row r="125" spans="2:89" ht="15" customHeight="1" x14ac:dyDescent="0.3">
      <c r="AK125" s="28"/>
      <c r="AM125" s="89">
        <f>IF(OR(ISBLANK(H124),ISBLANK(S124)),2,1)</f>
        <v>2</v>
      </c>
      <c r="AV125" s="73"/>
      <c r="AW125" s="73"/>
      <c r="AX125" s="73"/>
      <c r="AY125" s="73"/>
      <c r="AZ125" s="73"/>
      <c r="BA125" s="73"/>
      <c r="BB125" s="73"/>
      <c r="BC125" s="73"/>
      <c r="BD125" s="73"/>
      <c r="BE125" s="73"/>
      <c r="BF125" s="73"/>
      <c r="BG125" s="73"/>
      <c r="BH125" s="73"/>
      <c r="BI125" s="73"/>
      <c r="BJ125" s="73"/>
      <c r="BK125" s="73"/>
      <c r="BL125" s="73"/>
      <c r="BM125" s="73"/>
      <c r="BN125" s="73"/>
      <c r="BO125" s="73"/>
      <c r="BP125" s="73"/>
      <c r="BQ125" s="73"/>
      <c r="BR125" s="73"/>
      <c r="BS125" s="73"/>
      <c r="BT125" s="73"/>
      <c r="BU125" s="73"/>
      <c r="BV125" s="73"/>
      <c r="BW125" s="73"/>
      <c r="BX125" s="73"/>
      <c r="BY125" s="73"/>
      <c r="BZ125" s="73"/>
      <c r="CA125" s="73"/>
      <c r="CB125" s="73"/>
      <c r="CC125" s="73"/>
      <c r="CD125" s="73"/>
      <c r="CE125" s="73"/>
      <c r="CF125" s="73"/>
      <c r="CG125" s="73"/>
      <c r="CH125" s="73"/>
      <c r="CI125" s="73"/>
      <c r="CJ125" s="73"/>
      <c r="CK125" s="73"/>
    </row>
    <row r="126" spans="2:89" ht="15" customHeight="1" x14ac:dyDescent="0.3">
      <c r="B126" s="1" t="s">
        <v>15</v>
      </c>
      <c r="N126" s="29" t="s">
        <v>46</v>
      </c>
      <c r="O126" s="208"/>
      <c r="P126" s="208"/>
      <c r="Q126" s="208"/>
      <c r="R126" s="208"/>
      <c r="V126" s="2" t="s">
        <v>47</v>
      </c>
      <c r="W126" s="209"/>
      <c r="X126" s="209"/>
      <c r="Y126" s="209"/>
      <c r="Z126" s="209"/>
      <c r="AL126" s="66" t="s">
        <v>144</v>
      </c>
      <c r="AM126" s="89">
        <f>SUM(AM127,AO127)</f>
        <v>0</v>
      </c>
      <c r="AP126" s="66" t="s">
        <v>424</v>
      </c>
      <c r="AQ126" s="89">
        <f>IF(ISBLANK(O126),1,IF(ISTEXT(O126)=TRUE,3,2))</f>
        <v>1</v>
      </c>
      <c r="AR126" s="20"/>
      <c r="AS126" s="20"/>
      <c r="AT126" s="20"/>
      <c r="AV126" s="73"/>
      <c r="AW126" s="73"/>
      <c r="AX126" s="73"/>
      <c r="AY126" s="73"/>
      <c r="AZ126" s="73"/>
      <c r="BA126" s="73"/>
      <c r="BB126" s="73"/>
      <c r="BC126" s="73"/>
      <c r="BD126" s="73"/>
      <c r="BE126" s="73"/>
      <c r="BF126" s="73"/>
      <c r="BG126" s="73"/>
      <c r="BH126" s="73"/>
      <c r="BI126" s="73"/>
      <c r="BJ126" s="73"/>
      <c r="BK126" s="73"/>
      <c r="BL126" s="73"/>
      <c r="BM126" s="73"/>
      <c r="BN126" s="73"/>
      <c r="BO126" s="73"/>
      <c r="BP126" s="73"/>
      <c r="BQ126" s="73"/>
      <c r="BR126" s="73"/>
      <c r="BS126" s="73"/>
      <c r="BT126" s="73"/>
      <c r="BU126" s="73"/>
      <c r="BV126" s="73"/>
      <c r="BW126" s="73"/>
      <c r="BX126" s="73"/>
      <c r="BY126" s="73"/>
      <c r="BZ126" s="73"/>
      <c r="CA126" s="73"/>
      <c r="CB126" s="73"/>
      <c r="CC126" s="73"/>
      <c r="CD126" s="73"/>
      <c r="CE126" s="73"/>
      <c r="CF126" s="73"/>
      <c r="CG126" s="73"/>
      <c r="CH126" s="73"/>
      <c r="CI126" s="73"/>
      <c r="CJ126" s="73"/>
      <c r="CK126" s="73"/>
    </row>
    <row r="127" spans="2:89" ht="15" customHeight="1" x14ac:dyDescent="0.3">
      <c r="AL127" s="66" t="s">
        <v>142</v>
      </c>
      <c r="AM127" s="89">
        <f>IF(ISBLANK(O126),0,1)</f>
        <v>0</v>
      </c>
      <c r="AN127" s="66" t="s">
        <v>143</v>
      </c>
      <c r="AO127" s="89">
        <f>IF(ISBLANK(W126),0,1)</f>
        <v>0</v>
      </c>
      <c r="AP127" s="66" t="s">
        <v>425</v>
      </c>
      <c r="AQ127" s="89">
        <f>IF(ISBLANK(W126),1,IF(ISTEXT(W126)=TRUE,3,2))</f>
        <v>1</v>
      </c>
      <c r="AR127" s="20"/>
      <c r="AS127" s="20"/>
      <c r="AT127" s="20"/>
      <c r="AV127" s="73"/>
      <c r="AW127" s="73"/>
      <c r="AX127" s="73"/>
      <c r="AY127" s="73"/>
      <c r="AZ127" s="73"/>
      <c r="BA127" s="73"/>
      <c r="BB127" s="73"/>
      <c r="BC127" s="73"/>
      <c r="BD127" s="73"/>
      <c r="BE127" s="73"/>
      <c r="BF127" s="73"/>
      <c r="BG127" s="73"/>
      <c r="BH127" s="73"/>
      <c r="BI127" s="73"/>
      <c r="BJ127" s="73"/>
      <c r="BK127" s="73"/>
      <c r="BL127" s="73"/>
      <c r="BM127" s="73"/>
      <c r="BN127" s="73"/>
      <c r="BO127" s="73"/>
      <c r="BP127" s="73"/>
      <c r="BQ127" s="73"/>
      <c r="BR127" s="73"/>
      <c r="BS127" s="73"/>
      <c r="BT127" s="73"/>
      <c r="BU127" s="73"/>
      <c r="BV127" s="73"/>
      <c r="BW127" s="73"/>
      <c r="BX127" s="73"/>
      <c r="BY127" s="73"/>
      <c r="BZ127" s="73"/>
      <c r="CA127" s="73"/>
      <c r="CB127" s="73"/>
      <c r="CC127" s="73"/>
      <c r="CD127" s="73"/>
      <c r="CE127" s="73"/>
      <c r="CF127" s="73"/>
      <c r="CG127" s="73"/>
      <c r="CH127" s="73"/>
      <c r="CI127" s="73"/>
      <c r="CJ127" s="73"/>
      <c r="CK127" s="73"/>
    </row>
    <row r="128" spans="2:89" ht="15" customHeight="1" x14ac:dyDescent="0.3">
      <c r="B128" s="1" t="s">
        <v>483</v>
      </c>
      <c r="C128" s="1"/>
      <c r="D128" s="1"/>
      <c r="E128" s="1"/>
      <c r="K128" s="2" t="s">
        <v>195</v>
      </c>
      <c r="L128" s="179"/>
      <c r="M128" s="179"/>
      <c r="N128" s="179"/>
      <c r="O128" s="179"/>
      <c r="P128" s="179"/>
      <c r="Q128" s="179"/>
      <c r="R128" s="179"/>
      <c r="S128" s="179"/>
      <c r="T128" s="179"/>
      <c r="AE128" s="2" t="s">
        <v>140</v>
      </c>
      <c r="AF128" s="55"/>
      <c r="AG128" s="26" t="s">
        <v>123</v>
      </c>
      <c r="AI128" s="55"/>
      <c r="AJ128" s="31" t="s">
        <v>141</v>
      </c>
      <c r="AL128" s="89">
        <f>IF(ISBLANK(L128),1,0)</f>
        <v>1</v>
      </c>
      <c r="AM128" s="94">
        <f>SUM(AL128,AO128,AL130:AO130)</f>
        <v>6</v>
      </c>
      <c r="AN128" s="66"/>
      <c r="AO128" s="94">
        <f>IF(AND(ISBLANK(AF128),ISBLANK(AI128)),1,0)</f>
        <v>1</v>
      </c>
      <c r="AP128" s="89">
        <f>IF(ISBLANK(AI128),1,2)</f>
        <v>1</v>
      </c>
      <c r="AQ128" s="20"/>
      <c r="AR128" s="20"/>
      <c r="AS128" s="20"/>
      <c r="AT128" s="20"/>
      <c r="AV128" s="73"/>
      <c r="AW128" s="73"/>
      <c r="AX128" s="73"/>
      <c r="AY128" s="73"/>
      <c r="AZ128" s="73"/>
      <c r="BA128" s="73"/>
      <c r="BB128" s="73"/>
      <c r="BC128" s="73"/>
      <c r="BD128" s="73"/>
      <c r="BE128" s="73"/>
      <c r="BF128" s="73"/>
      <c r="BG128" s="73"/>
      <c r="BH128" s="73"/>
      <c r="BI128" s="73"/>
      <c r="BJ128" s="73"/>
      <c r="BK128" s="73"/>
      <c r="BL128" s="73"/>
      <c r="BM128" s="73"/>
      <c r="BN128" s="73"/>
      <c r="BO128" s="73"/>
      <c r="BP128" s="73"/>
      <c r="BQ128" s="73"/>
      <c r="BR128" s="73"/>
      <c r="BS128" s="73"/>
      <c r="BT128" s="73"/>
      <c r="BU128" s="73"/>
      <c r="BV128" s="73"/>
      <c r="BW128" s="73"/>
      <c r="BX128" s="73"/>
      <c r="BY128" s="73"/>
      <c r="BZ128" s="73"/>
      <c r="CA128" s="73"/>
      <c r="CB128" s="73"/>
      <c r="CC128" s="73"/>
      <c r="CD128" s="73"/>
      <c r="CE128" s="73"/>
      <c r="CF128" s="73"/>
      <c r="CG128" s="73"/>
      <c r="CH128" s="73"/>
      <c r="CI128" s="73"/>
      <c r="CJ128" s="73"/>
      <c r="CK128" s="73"/>
    </row>
    <row r="129" spans="2:89" ht="4.95" customHeight="1" x14ac:dyDescent="0.3">
      <c r="AN129" s="66"/>
      <c r="AO129" s="66"/>
      <c r="AP129" s="66"/>
      <c r="AQ129" s="20"/>
      <c r="AR129" s="20"/>
      <c r="AS129" s="20"/>
      <c r="AT129" s="20"/>
      <c r="AV129" s="73"/>
      <c r="AW129" s="73"/>
      <c r="AX129" s="73"/>
      <c r="AY129" s="73"/>
      <c r="AZ129" s="73"/>
      <c r="BA129" s="73"/>
      <c r="BB129" s="73"/>
      <c r="BC129" s="73"/>
      <c r="BD129" s="73"/>
      <c r="BE129" s="73"/>
      <c r="BF129" s="73"/>
      <c r="BG129" s="73"/>
      <c r="BH129" s="73"/>
      <c r="BI129" s="73"/>
      <c r="BJ129" s="73"/>
      <c r="BK129" s="73"/>
      <c r="BL129" s="73"/>
      <c r="BM129" s="73"/>
      <c r="BN129" s="73"/>
      <c r="BO129" s="73"/>
      <c r="BP129" s="73"/>
      <c r="BQ129" s="73"/>
      <c r="BR129" s="73"/>
      <c r="BS129" s="73"/>
      <c r="BT129" s="73"/>
      <c r="BU129" s="73"/>
      <c r="BV129" s="73"/>
      <c r="BW129" s="73"/>
      <c r="BX129" s="73"/>
      <c r="BY129" s="73"/>
      <c r="BZ129" s="73"/>
      <c r="CA129" s="73"/>
      <c r="CB129" s="73"/>
      <c r="CC129" s="73"/>
      <c r="CD129" s="73"/>
      <c r="CE129" s="73"/>
      <c r="CF129" s="73"/>
      <c r="CG129" s="73"/>
      <c r="CH129" s="73"/>
      <c r="CI129" s="73"/>
      <c r="CJ129" s="73"/>
      <c r="CK129" s="73"/>
    </row>
    <row r="130" spans="2:89" ht="15" customHeight="1" x14ac:dyDescent="0.3">
      <c r="E130" s="2" t="s">
        <v>162</v>
      </c>
      <c r="F130" s="190"/>
      <c r="G130" s="190"/>
      <c r="H130" s="26" t="s">
        <v>43</v>
      </c>
      <c r="K130" s="2" t="s">
        <v>158</v>
      </c>
      <c r="L130" s="190"/>
      <c r="M130" s="190"/>
      <c r="N130" s="26" t="s">
        <v>43</v>
      </c>
      <c r="Q130" s="2" t="s">
        <v>221</v>
      </c>
      <c r="R130" s="190"/>
      <c r="S130" s="190"/>
      <c r="T130" s="26" t="s">
        <v>43</v>
      </c>
      <c r="AE130" s="2" t="s">
        <v>452</v>
      </c>
      <c r="AF130" s="55"/>
      <c r="AG130" s="26" t="s">
        <v>123</v>
      </c>
      <c r="AI130" s="55"/>
      <c r="AJ130" s="31" t="s">
        <v>141</v>
      </c>
      <c r="AL130" s="89">
        <f>IF(ISBLANK(F130),1,0)</f>
        <v>1</v>
      </c>
      <c r="AM130" s="89">
        <f>IF(ISBLANK(L130),1,0)</f>
        <v>1</v>
      </c>
      <c r="AN130" s="89">
        <f>IF(ISBLANK(R130),1,0)</f>
        <v>1</v>
      </c>
      <c r="AO130" s="94">
        <f>IF(AND(ISBLANK(AF130),ISBLANK(AI130)),1,0)</f>
        <v>1</v>
      </c>
      <c r="AP130" s="89">
        <f>IF(ISBLANK(AI130),1,2)</f>
        <v>1</v>
      </c>
      <c r="AQ130" s="20"/>
      <c r="AR130" s="20"/>
      <c r="AS130" s="20"/>
      <c r="AT130" s="20"/>
      <c r="AV130" s="73"/>
      <c r="AW130" s="73"/>
      <c r="AX130" s="73"/>
      <c r="AY130" s="73"/>
      <c r="AZ130" s="73"/>
      <c r="BA130" s="73"/>
      <c r="BB130" s="73"/>
      <c r="BC130" s="73"/>
      <c r="BD130" s="73"/>
      <c r="BE130" s="73"/>
      <c r="BF130" s="73"/>
      <c r="BG130" s="73"/>
      <c r="BH130" s="73"/>
      <c r="BI130" s="73"/>
      <c r="BJ130" s="73"/>
      <c r="BK130" s="73"/>
      <c r="BL130" s="73"/>
      <c r="BM130" s="73"/>
      <c r="BN130" s="73"/>
      <c r="BO130" s="73"/>
      <c r="BP130" s="73"/>
      <c r="BQ130" s="73"/>
      <c r="BR130" s="73"/>
      <c r="BS130" s="73"/>
      <c r="BT130" s="73"/>
      <c r="BU130" s="73"/>
      <c r="BV130" s="73"/>
      <c r="BW130" s="73"/>
      <c r="BX130" s="73"/>
      <c r="BY130" s="73"/>
      <c r="BZ130" s="73"/>
      <c r="CA130" s="73"/>
      <c r="CB130" s="73"/>
      <c r="CC130" s="73"/>
      <c r="CD130" s="73"/>
      <c r="CE130" s="73"/>
      <c r="CF130" s="73"/>
      <c r="CG130" s="73"/>
      <c r="CH130" s="73"/>
      <c r="CI130" s="73"/>
      <c r="CJ130" s="73"/>
      <c r="CK130" s="73"/>
    </row>
    <row r="131" spans="2:89" ht="15" customHeight="1" x14ac:dyDescent="0.3">
      <c r="AL131" s="10" t="s">
        <v>74</v>
      </c>
      <c r="AM131" s="10" t="s">
        <v>260</v>
      </c>
      <c r="AN131" s="10" t="s">
        <v>75</v>
      </c>
      <c r="AO131" s="20" t="s">
        <v>301</v>
      </c>
      <c r="AP131" s="20" t="s">
        <v>362</v>
      </c>
      <c r="AQ131" s="10" t="s">
        <v>75</v>
      </c>
      <c r="AV131" s="73"/>
      <c r="AW131" s="73"/>
      <c r="AX131" s="73"/>
      <c r="AY131" s="73"/>
      <c r="AZ131" s="73"/>
      <c r="BA131" s="73"/>
      <c r="BB131" s="73"/>
      <c r="BC131" s="73"/>
      <c r="BD131" s="73"/>
      <c r="BE131" s="73"/>
      <c r="BF131" s="73"/>
      <c r="BG131" s="73"/>
      <c r="BH131" s="73"/>
      <c r="BI131" s="73"/>
      <c r="BJ131" s="73"/>
      <c r="BK131" s="73"/>
      <c r="BL131" s="73"/>
      <c r="BM131" s="73"/>
      <c r="BN131" s="73"/>
      <c r="BO131" s="73"/>
      <c r="BP131" s="73"/>
      <c r="BQ131" s="73"/>
      <c r="BR131" s="73"/>
      <c r="BS131" s="73"/>
      <c r="BT131" s="73"/>
      <c r="BU131" s="73"/>
      <c r="BV131" s="73"/>
      <c r="BW131" s="73"/>
      <c r="BX131" s="73"/>
      <c r="BY131" s="73"/>
      <c r="BZ131" s="73"/>
      <c r="CA131" s="73"/>
      <c r="CB131" s="73"/>
      <c r="CC131" s="73"/>
      <c r="CD131" s="73"/>
      <c r="CE131" s="73"/>
      <c r="CF131" s="73"/>
      <c r="CG131" s="73"/>
      <c r="CH131" s="73"/>
      <c r="CI131" s="73"/>
      <c r="CJ131" s="73"/>
      <c r="CK131" s="73"/>
    </row>
    <row r="132" spans="2:89" ht="30" customHeight="1" x14ac:dyDescent="0.3">
      <c r="B132" s="1" t="s">
        <v>206</v>
      </c>
      <c r="J132" s="1"/>
      <c r="K132" s="1"/>
      <c r="L132" s="1"/>
      <c r="M132" s="196" t="s">
        <v>61</v>
      </c>
      <c r="N132" s="196"/>
      <c r="O132" s="196"/>
      <c r="P132" s="70"/>
      <c r="Q132" s="196" t="s">
        <v>551</v>
      </c>
      <c r="R132" s="196"/>
      <c r="S132" s="196"/>
      <c r="T132" s="70"/>
      <c r="U132" s="196" t="s">
        <v>552</v>
      </c>
      <c r="V132" s="196"/>
      <c r="W132" s="196"/>
      <c r="X132" s="196" t="s">
        <v>272</v>
      </c>
      <c r="Y132" s="196"/>
      <c r="Z132" s="196"/>
      <c r="AA132" s="196"/>
      <c r="AB132" s="196"/>
      <c r="AC132" s="196" t="s">
        <v>247</v>
      </c>
      <c r="AD132" s="196"/>
      <c r="AE132" s="196"/>
      <c r="AF132" s="70"/>
      <c r="AG132" s="196" t="s">
        <v>62</v>
      </c>
      <c r="AH132" s="196"/>
      <c r="AI132" s="196"/>
      <c r="AJ132" s="196"/>
      <c r="AL132" s="89">
        <f>SUM(AL133:AL136)</f>
        <v>4</v>
      </c>
      <c r="AM132" s="89">
        <f>SUM(AM133:AM138)</f>
        <v>6</v>
      </c>
      <c r="AN132" s="89">
        <f>SUM(AN133:AN138)</f>
        <v>6</v>
      </c>
      <c r="AO132" s="89">
        <f>SUM(AO133:AO138)</f>
        <v>0</v>
      </c>
      <c r="AP132" s="89">
        <f>SUM(AP133:AP138)</f>
        <v>0</v>
      </c>
      <c r="AQ132" s="93">
        <f>SUM(AQ133:AQ138)</f>
        <v>6</v>
      </c>
      <c r="AR132" s="141"/>
      <c r="AS132" s="141"/>
      <c r="AT132" s="141"/>
      <c r="AU132" s="108"/>
      <c r="AV132" s="73"/>
      <c r="AW132" s="73"/>
      <c r="AX132" s="73"/>
      <c r="AY132" s="73"/>
      <c r="AZ132" s="73"/>
      <c r="BA132" s="73"/>
      <c r="BB132" s="73"/>
      <c r="BC132" s="73"/>
      <c r="BD132" s="73"/>
      <c r="BE132" s="73"/>
      <c r="BF132" s="73"/>
      <c r="BG132" s="73"/>
      <c r="BH132" s="73"/>
      <c r="BI132" s="73"/>
      <c r="BJ132" s="73"/>
      <c r="BK132" s="73"/>
      <c r="BL132" s="73"/>
      <c r="BM132" s="73"/>
      <c r="BN132" s="73"/>
      <c r="BO132" s="73"/>
      <c r="BP132" s="73"/>
      <c r="BQ132" s="73"/>
      <c r="BR132" s="73"/>
      <c r="BS132" s="73"/>
      <c r="BT132" s="73"/>
      <c r="BU132" s="73"/>
      <c r="BV132" s="73"/>
      <c r="BW132" s="73"/>
      <c r="BX132" s="73"/>
      <c r="BY132" s="73"/>
      <c r="BZ132" s="73"/>
      <c r="CA132" s="73"/>
      <c r="CB132" s="73"/>
      <c r="CC132" s="73"/>
      <c r="CD132" s="73"/>
      <c r="CE132" s="73"/>
      <c r="CF132" s="73"/>
      <c r="CG132" s="73"/>
      <c r="CH132" s="73"/>
      <c r="CI132" s="73"/>
      <c r="CJ132" s="73"/>
      <c r="CK132" s="73"/>
    </row>
    <row r="133" spans="2:89" ht="15" customHeight="1" x14ac:dyDescent="0.3">
      <c r="E133" s="28"/>
      <c r="F133" s="28"/>
      <c r="G133" s="193">
        <f>Tables!$F$16</f>
        <v>6.02</v>
      </c>
      <c r="H133" s="193"/>
      <c r="K133" s="2" t="str">
        <f>Tables!$D$16</f>
        <v>(2-yr)</v>
      </c>
      <c r="L133" s="2"/>
      <c r="M133" s="180"/>
      <c r="N133" s="180"/>
      <c r="O133" s="180"/>
      <c r="P133" s="6"/>
      <c r="Q133" s="180"/>
      <c r="R133" s="180"/>
      <c r="S133" s="180"/>
      <c r="U133" s="180"/>
      <c r="V133" s="180"/>
      <c r="W133" s="180"/>
      <c r="Y133" s="180"/>
      <c r="Z133" s="180"/>
      <c r="AA133" s="180"/>
      <c r="AC133" s="180"/>
      <c r="AD133" s="180"/>
      <c r="AE133" s="180"/>
      <c r="AG133" s="180"/>
      <c r="AH133" s="180"/>
      <c r="AI133" s="180"/>
      <c r="AL133" s="89">
        <f>IF(ISBLANK(Y133),1,IF(Y133&gt;W$107,1,0))</f>
        <v>1</v>
      </c>
      <c r="AM133" s="89">
        <f>IF(ISBLANK(AC133),1,IF(AC133&gt;$AM$141,1,0))</f>
        <v>1</v>
      </c>
      <c r="AN133" s="89">
        <f>IF(OR(ISBLANK(M133),ISBLANK(AG133)),1,IF(AG133&gt;M133,1,0))</f>
        <v>1</v>
      </c>
      <c r="AO133" s="89">
        <f t="shared" ref="AO133:AO138" si="8">IF(OR($AN$161=0,$AN$179=2),0,IF($AG133&gt;$AN$161,1,0))</f>
        <v>0</v>
      </c>
      <c r="AP133" s="89">
        <f t="shared" ref="AP133:AP138" si="9">IF(OR($AN$163=0,$AN$179=2),0,IF($AG133&gt;$AN$163,1,0))</f>
        <v>0</v>
      </c>
      <c r="AQ133" s="93">
        <f t="shared" ref="AQ133:AQ138" si="10">IF(OR(ISBLANK(M133),ISBLANK(AG133)),1,IF(AG133-M133&gt;-0.5,1,0))</f>
        <v>1</v>
      </c>
      <c r="AR133" s="141"/>
      <c r="AS133" s="141"/>
      <c r="AT133" s="141"/>
      <c r="AU133" s="108"/>
      <c r="AV133" s="73"/>
      <c r="AW133" s="73"/>
      <c r="AX133" s="73"/>
      <c r="AY133" s="73"/>
      <c r="AZ133" s="73"/>
      <c r="BA133" s="73"/>
      <c r="BB133" s="73"/>
      <c r="BC133" s="73"/>
      <c r="BD133" s="73"/>
      <c r="BE133" s="73"/>
      <c r="BF133" s="73"/>
      <c r="BG133" s="73"/>
      <c r="BH133" s="73"/>
      <c r="BI133" s="73"/>
      <c r="BJ133" s="73"/>
      <c r="BK133" s="73"/>
      <c r="BL133" s="73"/>
      <c r="BM133" s="73"/>
      <c r="BN133" s="73"/>
      <c r="BO133" s="73"/>
      <c r="BP133" s="73"/>
      <c r="BQ133" s="73"/>
      <c r="BR133" s="73"/>
      <c r="BS133" s="73"/>
      <c r="BT133" s="73"/>
      <c r="BU133" s="73"/>
      <c r="BV133" s="73"/>
      <c r="BW133" s="73"/>
      <c r="BX133" s="73"/>
      <c r="BY133" s="73"/>
      <c r="BZ133" s="73"/>
      <c r="CA133" s="73"/>
      <c r="CB133" s="73"/>
      <c r="CC133" s="73"/>
      <c r="CD133" s="73"/>
      <c r="CE133" s="73"/>
      <c r="CF133" s="73"/>
      <c r="CG133" s="73"/>
      <c r="CH133" s="73"/>
      <c r="CI133" s="73"/>
      <c r="CJ133" s="73"/>
      <c r="CK133" s="73"/>
    </row>
    <row r="134" spans="2:89" ht="15" customHeight="1" x14ac:dyDescent="0.3">
      <c r="E134" s="28"/>
      <c r="F134" s="28"/>
      <c r="G134" s="193">
        <f>Tables!$F$17</f>
        <v>7.68</v>
      </c>
      <c r="H134" s="193"/>
      <c r="K134" s="2" t="str">
        <f>Tables!$D$17</f>
        <v>(5-yr)</v>
      </c>
      <c r="L134" s="2"/>
      <c r="M134" s="180"/>
      <c r="N134" s="180"/>
      <c r="O134" s="180"/>
      <c r="P134" s="6"/>
      <c r="Q134" s="182"/>
      <c r="R134" s="182"/>
      <c r="S134" s="182"/>
      <c r="U134" s="182"/>
      <c r="V134" s="182"/>
      <c r="W134" s="182"/>
      <c r="Y134" s="182"/>
      <c r="Z134" s="182"/>
      <c r="AA134" s="182"/>
      <c r="AC134" s="182"/>
      <c r="AD134" s="182"/>
      <c r="AE134" s="182"/>
      <c r="AG134" s="182"/>
      <c r="AH134" s="182"/>
      <c r="AI134" s="182"/>
      <c r="AL134" s="89">
        <f t="shared" ref="AL134:AL136" si="11">IF(ISBLANK(Y134),1,IF(Y134&gt;W$107,1,0))</f>
        <v>1</v>
      </c>
      <c r="AM134" s="89">
        <f t="shared" ref="AM134:AM138" si="12">IF(ISBLANK(AC134),1,IF(AC134&gt;$AM$141,1,0))</f>
        <v>1</v>
      </c>
      <c r="AN134" s="89">
        <f t="shared" ref="AN134:AN138" si="13">IF(OR(ISBLANK(M134),ISBLANK(AG134)),1,IF(AG134&gt;M134,1,0))</f>
        <v>1</v>
      </c>
      <c r="AO134" s="89">
        <f t="shared" si="8"/>
        <v>0</v>
      </c>
      <c r="AP134" s="89">
        <f t="shared" si="9"/>
        <v>0</v>
      </c>
      <c r="AQ134" s="93">
        <f t="shared" si="10"/>
        <v>1</v>
      </c>
      <c r="AR134" s="141"/>
      <c r="AS134" s="141"/>
      <c r="AT134" s="141"/>
      <c r="AU134" s="108"/>
      <c r="AV134" s="73"/>
      <c r="AW134" s="73"/>
      <c r="AX134" s="73"/>
      <c r="AY134" s="73"/>
      <c r="AZ134" s="73"/>
      <c r="BA134" s="73"/>
      <c r="BB134" s="73"/>
      <c r="BC134" s="73"/>
      <c r="BD134" s="73"/>
      <c r="BE134" s="73"/>
      <c r="BF134" s="73"/>
      <c r="BG134" s="73"/>
      <c r="BH134" s="73"/>
      <c r="BI134" s="73"/>
      <c r="BJ134" s="73"/>
      <c r="BK134" s="73"/>
      <c r="BL134" s="73"/>
      <c r="BM134" s="73"/>
      <c r="BN134" s="73"/>
      <c r="BO134" s="73"/>
      <c r="BP134" s="73"/>
      <c r="BQ134" s="73"/>
      <c r="BR134" s="73"/>
      <c r="BS134" s="73"/>
      <c r="BT134" s="73"/>
      <c r="BU134" s="73"/>
      <c r="BV134" s="73"/>
      <c r="BW134" s="73"/>
      <c r="BX134" s="73"/>
      <c r="BY134" s="73"/>
      <c r="BZ134" s="73"/>
      <c r="CA134" s="73"/>
      <c r="CB134" s="73"/>
      <c r="CC134" s="73"/>
      <c r="CD134" s="73"/>
      <c r="CE134" s="73"/>
      <c r="CF134" s="73"/>
      <c r="CG134" s="73"/>
      <c r="CH134" s="73"/>
      <c r="CI134" s="73"/>
      <c r="CJ134" s="73"/>
      <c r="CK134" s="73"/>
    </row>
    <row r="135" spans="2:89" ht="15" customHeight="1" x14ac:dyDescent="0.3">
      <c r="E135" s="28"/>
      <c r="F135" s="28"/>
      <c r="G135" s="193">
        <f>Tables!$F$18</f>
        <v>9.26</v>
      </c>
      <c r="H135" s="193"/>
      <c r="K135" s="2" t="str">
        <f>Tables!$D$18</f>
        <v>(10-yr)</v>
      </c>
      <c r="L135" s="2"/>
      <c r="M135" s="180"/>
      <c r="N135" s="180"/>
      <c r="O135" s="180"/>
      <c r="P135" s="6"/>
      <c r="Q135" s="182"/>
      <c r="R135" s="182"/>
      <c r="S135" s="182"/>
      <c r="U135" s="182"/>
      <c r="V135" s="182"/>
      <c r="W135" s="182"/>
      <c r="Y135" s="182"/>
      <c r="Z135" s="182"/>
      <c r="AA135" s="182"/>
      <c r="AC135" s="182"/>
      <c r="AD135" s="182"/>
      <c r="AE135" s="182"/>
      <c r="AG135" s="182"/>
      <c r="AH135" s="182"/>
      <c r="AI135" s="182"/>
      <c r="AL135" s="89">
        <f t="shared" si="11"/>
        <v>1</v>
      </c>
      <c r="AM135" s="89">
        <f t="shared" si="12"/>
        <v>1</v>
      </c>
      <c r="AN135" s="89">
        <f t="shared" si="13"/>
        <v>1</v>
      </c>
      <c r="AO135" s="89">
        <f t="shared" si="8"/>
        <v>0</v>
      </c>
      <c r="AP135" s="89">
        <f t="shared" si="9"/>
        <v>0</v>
      </c>
      <c r="AQ135" s="93">
        <f t="shared" si="10"/>
        <v>1</v>
      </c>
      <c r="AR135" s="141"/>
      <c r="AS135" s="141"/>
      <c r="AT135" s="141"/>
      <c r="AU135" s="108"/>
      <c r="AV135" s="73"/>
      <c r="AW135" s="73"/>
      <c r="AX135" s="73"/>
      <c r="AY135" s="73"/>
      <c r="AZ135" s="73"/>
      <c r="BA135" s="73"/>
      <c r="BB135" s="73"/>
      <c r="BC135" s="73"/>
      <c r="BD135" s="73"/>
      <c r="BE135" s="73"/>
      <c r="BF135" s="73"/>
      <c r="BG135" s="73"/>
      <c r="BH135" s="73"/>
      <c r="BI135" s="73"/>
      <c r="BJ135" s="73"/>
      <c r="BK135" s="73"/>
      <c r="BL135" s="73"/>
      <c r="BM135" s="73"/>
      <c r="BN135" s="73"/>
      <c r="BO135" s="73"/>
      <c r="BP135" s="73"/>
      <c r="BQ135" s="73"/>
      <c r="BR135" s="73"/>
      <c r="BS135" s="73"/>
      <c r="BT135" s="73"/>
      <c r="BU135" s="73"/>
      <c r="BV135" s="73"/>
      <c r="BW135" s="73"/>
      <c r="BX135" s="73"/>
      <c r="BY135" s="73"/>
      <c r="BZ135" s="73"/>
      <c r="CA135" s="73"/>
      <c r="CB135" s="73"/>
      <c r="CC135" s="73"/>
      <c r="CD135" s="73"/>
      <c r="CE135" s="73"/>
      <c r="CF135" s="73"/>
      <c r="CG135" s="73"/>
      <c r="CH135" s="73"/>
      <c r="CI135" s="73"/>
      <c r="CJ135" s="73"/>
      <c r="CK135" s="73"/>
    </row>
    <row r="136" spans="2:89" ht="15" customHeight="1" x14ac:dyDescent="0.3">
      <c r="E136" s="28"/>
      <c r="F136" s="28"/>
      <c r="G136" s="193">
        <f>Tables!$F$19</f>
        <v>11.7</v>
      </c>
      <c r="H136" s="193"/>
      <c r="K136" s="2" t="str">
        <f>Tables!$D$19</f>
        <v>(25-yr)</v>
      </c>
      <c r="L136" s="2"/>
      <c r="M136" s="180"/>
      <c r="N136" s="180"/>
      <c r="O136" s="180"/>
      <c r="P136" s="6"/>
      <c r="Q136" s="182"/>
      <c r="R136" s="182"/>
      <c r="S136" s="182"/>
      <c r="U136" s="182"/>
      <c r="V136" s="182"/>
      <c r="W136" s="182"/>
      <c r="Y136" s="182"/>
      <c r="Z136" s="182"/>
      <c r="AA136" s="182"/>
      <c r="AC136" s="182"/>
      <c r="AD136" s="182"/>
      <c r="AE136" s="182"/>
      <c r="AG136" s="182"/>
      <c r="AH136" s="182"/>
      <c r="AI136" s="182"/>
      <c r="AL136" s="89">
        <f t="shared" si="11"/>
        <v>1</v>
      </c>
      <c r="AM136" s="89">
        <f t="shared" si="12"/>
        <v>1</v>
      </c>
      <c r="AN136" s="89">
        <f t="shared" si="13"/>
        <v>1</v>
      </c>
      <c r="AO136" s="89">
        <f t="shared" si="8"/>
        <v>0</v>
      </c>
      <c r="AP136" s="89">
        <f t="shared" si="9"/>
        <v>0</v>
      </c>
      <c r="AQ136" s="93">
        <f t="shared" si="10"/>
        <v>1</v>
      </c>
      <c r="AR136" s="141"/>
      <c r="AS136" s="141"/>
      <c r="AT136" s="141"/>
      <c r="AU136" s="108"/>
      <c r="AV136" s="73"/>
      <c r="AW136" s="73"/>
      <c r="AX136" s="73"/>
      <c r="AY136" s="73"/>
      <c r="AZ136" s="73"/>
      <c r="BA136" s="73"/>
      <c r="BB136" s="73"/>
      <c r="BC136" s="73"/>
      <c r="BD136" s="73"/>
      <c r="BE136" s="73"/>
      <c r="BF136" s="73"/>
      <c r="BG136" s="73"/>
      <c r="BH136" s="73"/>
      <c r="BI136" s="73"/>
      <c r="BJ136" s="73"/>
      <c r="BK136" s="73"/>
      <c r="BL136" s="73"/>
      <c r="BM136" s="73"/>
      <c r="BN136" s="73"/>
      <c r="BO136" s="73"/>
      <c r="BP136" s="73"/>
      <c r="BQ136" s="73"/>
      <c r="BR136" s="73"/>
      <c r="BS136" s="73"/>
      <c r="BT136" s="73"/>
      <c r="BU136" s="73"/>
      <c r="BV136" s="73"/>
      <c r="BW136" s="73"/>
      <c r="BX136" s="73"/>
      <c r="BY136" s="73"/>
      <c r="BZ136" s="73"/>
      <c r="CA136" s="73"/>
      <c r="CB136" s="73"/>
      <c r="CC136" s="73"/>
      <c r="CD136" s="73"/>
      <c r="CE136" s="73"/>
      <c r="CF136" s="73"/>
      <c r="CG136" s="73"/>
      <c r="CH136" s="73"/>
      <c r="CI136" s="73"/>
      <c r="CJ136" s="73"/>
      <c r="CK136" s="73"/>
    </row>
    <row r="137" spans="2:89" ht="15" customHeight="1" x14ac:dyDescent="0.3">
      <c r="E137" s="28"/>
      <c r="F137" s="28"/>
      <c r="G137" s="193">
        <f>Tables!$F$20</f>
        <v>13.9</v>
      </c>
      <c r="H137" s="193"/>
      <c r="K137" s="2" t="str">
        <f>Tables!$D$20</f>
        <v>(50-yr)</v>
      </c>
      <c r="L137" s="2"/>
      <c r="M137" s="180"/>
      <c r="N137" s="180"/>
      <c r="O137" s="180"/>
      <c r="P137" s="6"/>
      <c r="Q137" s="182"/>
      <c r="R137" s="182"/>
      <c r="S137" s="182"/>
      <c r="U137" s="182"/>
      <c r="V137" s="182"/>
      <c r="W137" s="182"/>
      <c r="Y137" s="182"/>
      <c r="Z137" s="182"/>
      <c r="AA137" s="182"/>
      <c r="AC137" s="182"/>
      <c r="AD137" s="182"/>
      <c r="AE137" s="182"/>
      <c r="AG137" s="182"/>
      <c r="AH137" s="182"/>
      <c r="AI137" s="182"/>
      <c r="AL137" s="95">
        <f>IF(OR(ISBLANK($AF$107),ISBLANK(Y137)),0,$AF$107-Y137)</f>
        <v>0</v>
      </c>
      <c r="AM137" s="89">
        <f t="shared" si="12"/>
        <v>1</v>
      </c>
      <c r="AN137" s="89">
        <f t="shared" si="13"/>
        <v>1</v>
      </c>
      <c r="AO137" s="89">
        <f t="shared" si="8"/>
        <v>0</v>
      </c>
      <c r="AP137" s="89">
        <f t="shared" si="9"/>
        <v>0</v>
      </c>
      <c r="AQ137" s="93">
        <f t="shared" si="10"/>
        <v>1</v>
      </c>
      <c r="AR137" s="141"/>
      <c r="AS137" s="141"/>
      <c r="AT137" s="141"/>
      <c r="AU137" s="108"/>
      <c r="AV137" s="73"/>
      <c r="AW137" s="73"/>
      <c r="AX137" s="73"/>
      <c r="AY137" s="73"/>
      <c r="AZ137" s="73"/>
      <c r="BA137" s="73"/>
      <c r="BB137" s="73"/>
      <c r="BC137" s="73"/>
      <c r="BD137" s="73"/>
      <c r="BE137" s="73"/>
      <c r="BF137" s="73"/>
      <c r="BG137" s="73"/>
      <c r="BH137" s="73"/>
      <c r="BI137" s="73"/>
      <c r="BJ137" s="73"/>
      <c r="BK137" s="73"/>
      <c r="BL137" s="73"/>
      <c r="BM137" s="73"/>
      <c r="BN137" s="73"/>
      <c r="BO137" s="73"/>
      <c r="BP137" s="73"/>
      <c r="BQ137" s="73"/>
      <c r="BR137" s="73"/>
      <c r="BS137" s="73"/>
      <c r="BT137" s="73"/>
      <c r="BU137" s="73"/>
      <c r="BV137" s="73"/>
      <c r="BW137" s="73"/>
      <c r="BX137" s="73"/>
      <c r="BY137" s="73"/>
      <c r="BZ137" s="73"/>
      <c r="CA137" s="73"/>
      <c r="CB137" s="73"/>
      <c r="CC137" s="73"/>
      <c r="CD137" s="73"/>
      <c r="CE137" s="73"/>
      <c r="CF137" s="73"/>
      <c r="CG137" s="73"/>
      <c r="CH137" s="73"/>
      <c r="CI137" s="73"/>
      <c r="CJ137" s="73"/>
      <c r="CK137" s="73"/>
    </row>
    <row r="138" spans="2:89" ht="15" customHeight="1" x14ac:dyDescent="0.3">
      <c r="E138" s="28"/>
      <c r="F138" s="28"/>
      <c r="G138" s="193">
        <f>Tables!$F$21</f>
        <v>16.3</v>
      </c>
      <c r="H138" s="193"/>
      <c r="K138" s="2" t="str">
        <f>Tables!$D$21</f>
        <v>(100-yr)</v>
      </c>
      <c r="L138" s="2"/>
      <c r="M138" s="180"/>
      <c r="N138" s="180"/>
      <c r="O138" s="180"/>
      <c r="P138" s="6"/>
      <c r="Q138" s="182"/>
      <c r="R138" s="182"/>
      <c r="S138" s="182"/>
      <c r="U138" s="182"/>
      <c r="V138" s="182"/>
      <c r="W138" s="182"/>
      <c r="Y138" s="182"/>
      <c r="Z138" s="182"/>
      <c r="AA138" s="182"/>
      <c r="AC138" s="182"/>
      <c r="AD138" s="182"/>
      <c r="AE138" s="182"/>
      <c r="AG138" s="182"/>
      <c r="AH138" s="182"/>
      <c r="AI138" s="182"/>
      <c r="AL138" s="95">
        <f>IF(OR(ISBLANK($AF$107),ISBLANK(Y138)),0,$AF$107-Y138)</f>
        <v>0</v>
      </c>
      <c r="AM138" s="89">
        <f t="shared" si="12"/>
        <v>1</v>
      </c>
      <c r="AN138" s="89">
        <f t="shared" si="13"/>
        <v>1</v>
      </c>
      <c r="AO138" s="89">
        <f t="shared" si="8"/>
        <v>0</v>
      </c>
      <c r="AP138" s="89">
        <f t="shared" si="9"/>
        <v>0</v>
      </c>
      <c r="AQ138" s="93">
        <f t="shared" si="10"/>
        <v>1</v>
      </c>
      <c r="AR138" s="141"/>
      <c r="AS138" s="141"/>
      <c r="AT138" s="141"/>
      <c r="AU138" s="108"/>
      <c r="AV138" s="73"/>
      <c r="AW138" s="73"/>
      <c r="AX138" s="73"/>
      <c r="AY138" s="73"/>
      <c r="AZ138" s="73"/>
      <c r="BA138" s="73"/>
      <c r="BB138" s="73"/>
      <c r="BC138" s="73"/>
      <c r="BD138" s="73"/>
      <c r="BE138" s="73"/>
      <c r="BF138" s="73"/>
      <c r="BG138" s="73"/>
      <c r="BH138" s="73"/>
      <c r="BI138" s="73"/>
      <c r="BJ138" s="73"/>
      <c r="BK138" s="73"/>
      <c r="BL138" s="73"/>
      <c r="BM138" s="73"/>
      <c r="BN138" s="73"/>
      <c r="BO138" s="73"/>
      <c r="BP138" s="73"/>
      <c r="BQ138" s="73"/>
      <c r="BR138" s="73"/>
      <c r="BS138" s="73"/>
      <c r="BT138" s="73"/>
      <c r="BU138" s="73"/>
      <c r="BV138" s="73"/>
      <c r="BW138" s="73"/>
      <c r="BX138" s="73"/>
      <c r="BY138" s="73"/>
      <c r="BZ138" s="73"/>
      <c r="CA138" s="73"/>
      <c r="CB138" s="73"/>
      <c r="CC138" s="73"/>
      <c r="CD138" s="73"/>
      <c r="CE138" s="73"/>
      <c r="CF138" s="73"/>
      <c r="CG138" s="73"/>
      <c r="CH138" s="73"/>
      <c r="CI138" s="73"/>
      <c r="CJ138" s="73"/>
      <c r="CK138" s="73"/>
    </row>
    <row r="139" spans="2:89" ht="15" customHeight="1" x14ac:dyDescent="0.3">
      <c r="Q139" s="26" t="s">
        <v>553</v>
      </c>
    </row>
    <row r="140" spans="2:89" ht="15" customHeight="1" x14ac:dyDescent="0.3">
      <c r="B140" s="5" t="s">
        <v>22</v>
      </c>
      <c r="AM140" s="89">
        <f>IF(ISBLANK(K104),1,2)</f>
        <v>1</v>
      </c>
      <c r="AN140" s="10" t="s">
        <v>325</v>
      </c>
    </row>
    <row r="141" spans="2:89" ht="15" customHeight="1" x14ac:dyDescent="0.3">
      <c r="B141" s="199"/>
      <c r="C141" s="200"/>
      <c r="D141" s="200"/>
      <c r="E141" s="200"/>
      <c r="F141" s="200"/>
      <c r="G141" s="200"/>
      <c r="H141" s="200"/>
      <c r="I141" s="200"/>
      <c r="J141" s="200"/>
      <c r="K141" s="200"/>
      <c r="L141" s="200"/>
      <c r="M141" s="200"/>
      <c r="N141" s="200"/>
      <c r="O141" s="200"/>
      <c r="P141" s="200"/>
      <c r="Q141" s="200"/>
      <c r="R141" s="200"/>
      <c r="S141" s="200"/>
      <c r="T141" s="200"/>
      <c r="U141" s="200"/>
      <c r="V141" s="200"/>
      <c r="W141" s="200"/>
      <c r="X141" s="200"/>
      <c r="Y141" s="200"/>
      <c r="Z141" s="200"/>
      <c r="AA141" s="200"/>
      <c r="AB141" s="200"/>
      <c r="AC141" s="200"/>
      <c r="AD141" s="200"/>
      <c r="AE141" s="200"/>
      <c r="AF141" s="200"/>
      <c r="AG141" s="200"/>
      <c r="AH141" s="200"/>
      <c r="AI141" s="200"/>
      <c r="AJ141" s="201"/>
      <c r="AM141" s="95">
        <f>Tables!F26</f>
        <v>6</v>
      </c>
      <c r="AN141" s="50" t="s">
        <v>279</v>
      </c>
    </row>
    <row r="142" spans="2:89" ht="15" customHeight="1" x14ac:dyDescent="0.3">
      <c r="B142" s="202"/>
      <c r="C142" s="203"/>
      <c r="D142" s="203"/>
      <c r="E142" s="203"/>
      <c r="F142" s="203"/>
      <c r="G142" s="203"/>
      <c r="H142" s="203"/>
      <c r="I142" s="203"/>
      <c r="J142" s="203"/>
      <c r="K142" s="203"/>
      <c r="L142" s="203"/>
      <c r="M142" s="203"/>
      <c r="N142" s="203"/>
      <c r="O142" s="203"/>
      <c r="P142" s="203"/>
      <c r="Q142" s="203"/>
      <c r="R142" s="203"/>
      <c r="S142" s="203"/>
      <c r="T142" s="203"/>
      <c r="U142" s="203"/>
      <c r="V142" s="203"/>
      <c r="W142" s="203"/>
      <c r="X142" s="203"/>
      <c r="Y142" s="203"/>
      <c r="Z142" s="203"/>
      <c r="AA142" s="203"/>
      <c r="AB142" s="203"/>
      <c r="AC142" s="203"/>
      <c r="AD142" s="203"/>
      <c r="AE142" s="203"/>
      <c r="AF142" s="203"/>
      <c r="AG142" s="203"/>
      <c r="AH142" s="203"/>
      <c r="AI142" s="203"/>
      <c r="AJ142" s="204"/>
    </row>
    <row r="143" spans="2:89" ht="15" customHeight="1" x14ac:dyDescent="0.3">
      <c r="B143" s="202"/>
      <c r="C143" s="203"/>
      <c r="D143" s="203"/>
      <c r="E143" s="203"/>
      <c r="F143" s="203"/>
      <c r="G143" s="203"/>
      <c r="H143" s="203"/>
      <c r="I143" s="203"/>
      <c r="J143" s="203"/>
      <c r="K143" s="203"/>
      <c r="L143" s="203"/>
      <c r="M143" s="203"/>
      <c r="N143" s="203"/>
      <c r="O143" s="203"/>
      <c r="P143" s="203"/>
      <c r="Q143" s="203"/>
      <c r="R143" s="203"/>
      <c r="S143" s="203"/>
      <c r="T143" s="203"/>
      <c r="U143" s="203"/>
      <c r="V143" s="203"/>
      <c r="W143" s="203"/>
      <c r="X143" s="203"/>
      <c r="Y143" s="203"/>
      <c r="Z143" s="203"/>
      <c r="AA143" s="203"/>
      <c r="AB143" s="203"/>
      <c r="AC143" s="203"/>
      <c r="AD143" s="203"/>
      <c r="AE143" s="203"/>
      <c r="AF143" s="203"/>
      <c r="AG143" s="203"/>
      <c r="AH143" s="203"/>
      <c r="AI143" s="203"/>
      <c r="AJ143" s="204"/>
    </row>
    <row r="144" spans="2:89" ht="15" customHeight="1" x14ac:dyDescent="0.3">
      <c r="B144" s="202"/>
      <c r="C144" s="203"/>
      <c r="D144" s="203"/>
      <c r="E144" s="203"/>
      <c r="F144" s="203"/>
      <c r="G144" s="203"/>
      <c r="H144" s="203"/>
      <c r="I144" s="203"/>
      <c r="J144" s="203"/>
      <c r="K144" s="203"/>
      <c r="L144" s="203"/>
      <c r="M144" s="203"/>
      <c r="N144" s="203"/>
      <c r="O144" s="203"/>
      <c r="P144" s="203"/>
      <c r="Q144" s="203"/>
      <c r="R144" s="203"/>
      <c r="S144" s="203"/>
      <c r="T144" s="203"/>
      <c r="U144" s="203"/>
      <c r="V144" s="203"/>
      <c r="W144" s="203"/>
      <c r="X144" s="203"/>
      <c r="Y144" s="203"/>
      <c r="Z144" s="203"/>
      <c r="AA144" s="203"/>
      <c r="AB144" s="203"/>
      <c r="AC144" s="203"/>
      <c r="AD144" s="203"/>
      <c r="AE144" s="203"/>
      <c r="AF144" s="203"/>
      <c r="AG144" s="203"/>
      <c r="AH144" s="203"/>
      <c r="AI144" s="203"/>
      <c r="AJ144" s="204"/>
    </row>
    <row r="145" spans="2:46" ht="15" customHeight="1" x14ac:dyDescent="0.3">
      <c r="B145" s="202"/>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4"/>
    </row>
    <row r="146" spans="2:46" ht="15" customHeight="1" x14ac:dyDescent="0.3">
      <c r="B146" s="202"/>
      <c r="C146" s="203"/>
      <c r="D146" s="203"/>
      <c r="E146" s="203"/>
      <c r="F146" s="203"/>
      <c r="G146" s="203"/>
      <c r="H146" s="203"/>
      <c r="I146" s="203"/>
      <c r="J146" s="203"/>
      <c r="K146" s="203"/>
      <c r="L146" s="203"/>
      <c r="M146" s="203"/>
      <c r="N146" s="203"/>
      <c r="O146" s="203"/>
      <c r="P146" s="203"/>
      <c r="Q146" s="203"/>
      <c r="R146" s="203"/>
      <c r="S146" s="203"/>
      <c r="T146" s="203"/>
      <c r="U146" s="203"/>
      <c r="V146" s="203"/>
      <c r="W146" s="203"/>
      <c r="X146" s="203"/>
      <c r="Y146" s="203"/>
      <c r="Z146" s="203"/>
      <c r="AA146" s="203"/>
      <c r="AB146" s="203"/>
      <c r="AC146" s="203"/>
      <c r="AD146" s="203"/>
      <c r="AE146" s="203"/>
      <c r="AF146" s="203"/>
      <c r="AG146" s="203"/>
      <c r="AH146" s="203"/>
      <c r="AI146" s="203"/>
      <c r="AJ146" s="204"/>
    </row>
    <row r="147" spans="2:46" ht="15" customHeight="1" x14ac:dyDescent="0.3">
      <c r="B147" s="202"/>
      <c r="C147" s="203"/>
      <c r="D147" s="203"/>
      <c r="E147" s="203"/>
      <c r="F147" s="203"/>
      <c r="G147" s="203"/>
      <c r="H147" s="203"/>
      <c r="I147" s="203"/>
      <c r="J147" s="203"/>
      <c r="K147" s="203"/>
      <c r="L147" s="203"/>
      <c r="M147" s="203"/>
      <c r="N147" s="203"/>
      <c r="O147" s="203"/>
      <c r="P147" s="203"/>
      <c r="Q147" s="203"/>
      <c r="R147" s="203"/>
      <c r="S147" s="203"/>
      <c r="T147" s="203"/>
      <c r="U147" s="203"/>
      <c r="V147" s="203"/>
      <c r="W147" s="203"/>
      <c r="X147" s="203"/>
      <c r="Y147" s="203"/>
      <c r="Z147" s="203"/>
      <c r="AA147" s="203"/>
      <c r="AB147" s="203"/>
      <c r="AC147" s="203"/>
      <c r="AD147" s="203"/>
      <c r="AE147" s="203"/>
      <c r="AF147" s="203"/>
      <c r="AG147" s="203"/>
      <c r="AH147" s="203"/>
      <c r="AI147" s="203"/>
      <c r="AJ147" s="204"/>
    </row>
    <row r="148" spans="2:46" ht="15" customHeight="1" x14ac:dyDescent="0.3">
      <c r="B148" s="202"/>
      <c r="C148" s="203"/>
      <c r="D148" s="203"/>
      <c r="E148" s="203"/>
      <c r="F148" s="203"/>
      <c r="G148" s="203"/>
      <c r="H148" s="203"/>
      <c r="I148" s="203"/>
      <c r="J148" s="203"/>
      <c r="K148" s="203"/>
      <c r="L148" s="203"/>
      <c r="M148" s="203"/>
      <c r="N148" s="203"/>
      <c r="O148" s="203"/>
      <c r="P148" s="203"/>
      <c r="Q148" s="203"/>
      <c r="R148" s="203"/>
      <c r="S148" s="203"/>
      <c r="T148" s="203"/>
      <c r="U148" s="203"/>
      <c r="V148" s="203"/>
      <c r="W148" s="203"/>
      <c r="X148" s="203"/>
      <c r="Y148" s="203"/>
      <c r="Z148" s="203"/>
      <c r="AA148" s="203"/>
      <c r="AB148" s="203"/>
      <c r="AC148" s="203"/>
      <c r="AD148" s="203"/>
      <c r="AE148" s="203"/>
      <c r="AF148" s="203"/>
      <c r="AG148" s="203"/>
      <c r="AH148" s="203"/>
      <c r="AI148" s="203"/>
      <c r="AJ148" s="204"/>
    </row>
    <row r="149" spans="2:46" ht="15" customHeight="1" x14ac:dyDescent="0.3">
      <c r="B149" s="202"/>
      <c r="C149" s="203"/>
      <c r="D149" s="203"/>
      <c r="E149" s="203"/>
      <c r="F149" s="203"/>
      <c r="G149" s="203"/>
      <c r="H149" s="203"/>
      <c r="I149" s="203"/>
      <c r="J149" s="203"/>
      <c r="K149" s="203"/>
      <c r="L149" s="203"/>
      <c r="M149" s="203"/>
      <c r="N149" s="203"/>
      <c r="O149" s="203"/>
      <c r="P149" s="203"/>
      <c r="Q149" s="203"/>
      <c r="R149" s="203"/>
      <c r="S149" s="203"/>
      <c r="T149" s="203"/>
      <c r="U149" s="203"/>
      <c r="V149" s="203"/>
      <c r="W149" s="203"/>
      <c r="X149" s="203"/>
      <c r="Y149" s="203"/>
      <c r="Z149" s="203"/>
      <c r="AA149" s="203"/>
      <c r="AB149" s="203"/>
      <c r="AC149" s="203"/>
      <c r="AD149" s="203"/>
      <c r="AE149" s="203"/>
      <c r="AF149" s="203"/>
      <c r="AG149" s="203"/>
      <c r="AH149" s="203"/>
      <c r="AI149" s="203"/>
      <c r="AJ149" s="204"/>
    </row>
    <row r="150" spans="2:46" ht="15" customHeight="1" x14ac:dyDescent="0.3">
      <c r="B150" s="202"/>
      <c r="C150" s="203"/>
      <c r="D150" s="203"/>
      <c r="E150" s="203"/>
      <c r="F150" s="203"/>
      <c r="G150" s="203"/>
      <c r="H150" s="203"/>
      <c r="I150" s="203"/>
      <c r="J150" s="203"/>
      <c r="K150" s="203"/>
      <c r="L150" s="203"/>
      <c r="M150" s="203"/>
      <c r="N150" s="203"/>
      <c r="O150" s="203"/>
      <c r="P150" s="203"/>
      <c r="Q150" s="203"/>
      <c r="R150" s="203"/>
      <c r="S150" s="203"/>
      <c r="T150" s="203"/>
      <c r="U150" s="203"/>
      <c r="V150" s="203"/>
      <c r="W150" s="203"/>
      <c r="X150" s="203"/>
      <c r="Y150" s="203"/>
      <c r="Z150" s="203"/>
      <c r="AA150" s="203"/>
      <c r="AB150" s="203"/>
      <c r="AC150" s="203"/>
      <c r="AD150" s="203"/>
      <c r="AE150" s="203"/>
      <c r="AF150" s="203"/>
      <c r="AG150" s="203"/>
      <c r="AH150" s="203"/>
      <c r="AI150" s="203"/>
      <c r="AJ150" s="204"/>
    </row>
    <row r="151" spans="2:46" ht="15" customHeight="1" x14ac:dyDescent="0.3">
      <c r="B151" s="202"/>
      <c r="C151" s="203"/>
      <c r="D151" s="203"/>
      <c r="E151" s="203"/>
      <c r="F151" s="203"/>
      <c r="G151" s="203"/>
      <c r="H151" s="203"/>
      <c r="I151" s="203"/>
      <c r="J151" s="203"/>
      <c r="K151" s="203"/>
      <c r="L151" s="203"/>
      <c r="M151" s="203"/>
      <c r="N151" s="203"/>
      <c r="O151" s="203"/>
      <c r="P151" s="203"/>
      <c r="Q151" s="203"/>
      <c r="R151" s="203"/>
      <c r="S151" s="203"/>
      <c r="T151" s="203"/>
      <c r="U151" s="203"/>
      <c r="V151" s="203"/>
      <c r="W151" s="203"/>
      <c r="X151" s="203"/>
      <c r="Y151" s="203"/>
      <c r="Z151" s="203"/>
      <c r="AA151" s="203"/>
      <c r="AB151" s="203"/>
      <c r="AC151" s="203"/>
      <c r="AD151" s="203"/>
      <c r="AE151" s="203"/>
      <c r="AF151" s="203"/>
      <c r="AG151" s="203"/>
      <c r="AH151" s="203"/>
      <c r="AI151" s="203"/>
      <c r="AJ151" s="204"/>
      <c r="AP151" s="197" t="s">
        <v>363</v>
      </c>
      <c r="AQ151" s="198"/>
      <c r="AR151" s="20"/>
      <c r="AS151" s="20"/>
      <c r="AT151" s="20"/>
    </row>
    <row r="152" spans="2:46" ht="15" customHeight="1" x14ac:dyDescent="0.3">
      <c r="B152" s="205"/>
      <c r="C152" s="206"/>
      <c r="D152" s="206"/>
      <c r="E152" s="206"/>
      <c r="F152" s="206"/>
      <c r="G152" s="206"/>
      <c r="H152" s="206"/>
      <c r="I152" s="206"/>
      <c r="J152" s="206"/>
      <c r="K152" s="206"/>
      <c r="L152" s="206"/>
      <c r="M152" s="206"/>
      <c r="N152" s="206"/>
      <c r="O152" s="206"/>
      <c r="P152" s="206"/>
      <c r="Q152" s="206"/>
      <c r="R152" s="206"/>
      <c r="S152" s="206"/>
      <c r="T152" s="206"/>
      <c r="U152" s="206"/>
      <c r="V152" s="206"/>
      <c r="W152" s="206"/>
      <c r="X152" s="206"/>
      <c r="Y152" s="206"/>
      <c r="Z152" s="206"/>
      <c r="AA152" s="206"/>
      <c r="AB152" s="206"/>
      <c r="AC152" s="206"/>
      <c r="AD152" s="206"/>
      <c r="AE152" s="206"/>
      <c r="AF152" s="206"/>
      <c r="AG152" s="206"/>
      <c r="AH152" s="206"/>
      <c r="AI152" s="206"/>
      <c r="AJ152" s="207"/>
      <c r="AP152" s="114" t="s">
        <v>360</v>
      </c>
      <c r="AQ152" s="115" t="s">
        <v>148</v>
      </c>
      <c r="AR152" s="20"/>
      <c r="AS152" s="20"/>
      <c r="AT152" s="20"/>
    </row>
    <row r="153" spans="2:46" ht="15" customHeight="1" x14ac:dyDescent="0.3">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P153" s="116">
        <v>2</v>
      </c>
      <c r="AQ153" s="117">
        <f t="shared" ref="AQ153:AQ158" si="14">M133</f>
        <v>0</v>
      </c>
      <c r="AR153" s="142"/>
      <c r="AS153" s="142"/>
      <c r="AT153" s="142"/>
    </row>
    <row r="154" spans="2:46" ht="15" customHeight="1" x14ac:dyDescent="0.3">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P154" s="116">
        <v>5</v>
      </c>
      <c r="AQ154" s="117">
        <f t="shared" si="14"/>
        <v>0</v>
      </c>
      <c r="AR154" s="142"/>
      <c r="AS154" s="142"/>
      <c r="AT154" s="142"/>
    </row>
    <row r="155" spans="2:46" ht="15" customHeight="1" x14ac:dyDescent="0.3">
      <c r="AP155" s="116">
        <v>10</v>
      </c>
      <c r="AQ155" s="117">
        <f t="shared" si="14"/>
        <v>0</v>
      </c>
      <c r="AR155" s="142"/>
      <c r="AS155" s="142"/>
      <c r="AT155" s="142"/>
    </row>
    <row r="156" spans="2:46" ht="15" customHeight="1" x14ac:dyDescent="0.3">
      <c r="B156" s="194">
        <f>Tables!$F$13</f>
        <v>45931</v>
      </c>
      <c r="C156" s="194"/>
      <c r="D156" s="194"/>
      <c r="E156" s="194"/>
      <c r="F156" s="194"/>
      <c r="G156" s="194"/>
      <c r="H156" s="194"/>
      <c r="R156" s="195" t="s">
        <v>343</v>
      </c>
      <c r="S156" s="195"/>
      <c r="T156" s="195"/>
      <c r="U156" s="195"/>
      <c r="AP156" s="116">
        <v>25</v>
      </c>
      <c r="AQ156" s="117">
        <f t="shared" si="14"/>
        <v>0</v>
      </c>
      <c r="AR156" s="142"/>
      <c r="AS156" s="142"/>
      <c r="AT156" s="142"/>
    </row>
    <row r="157" spans="2:46" ht="15" customHeight="1" x14ac:dyDescent="0.3">
      <c r="C157" s="2" t="s">
        <v>1</v>
      </c>
      <c r="D157" s="192">
        <f>IF(ISBLANK($E$7),0,$E$7)</f>
        <v>0</v>
      </c>
      <c r="E157" s="192"/>
      <c r="F157" s="192"/>
      <c r="G157" s="192"/>
      <c r="H157" s="192"/>
      <c r="I157" s="192"/>
      <c r="J157" s="192"/>
      <c r="K157" s="192"/>
      <c r="L157" s="192"/>
      <c r="M157" s="192"/>
      <c r="N157" s="192"/>
      <c r="O157" s="192"/>
      <c r="P157" s="192"/>
      <c r="Q157" s="192"/>
      <c r="R157" s="192"/>
      <c r="S157" s="192"/>
      <c r="T157" s="192"/>
      <c r="U157" s="192"/>
      <c r="V157" s="192"/>
      <c r="W157" s="192"/>
      <c r="X157" s="192"/>
      <c r="Y157" s="192"/>
      <c r="Z157" s="33"/>
      <c r="AD157" s="2" t="s">
        <v>21</v>
      </c>
      <c r="AE157" s="217">
        <f>IF(ISBLANK($AE$7),0,$AE$7)</f>
        <v>0</v>
      </c>
      <c r="AF157" s="217"/>
      <c r="AG157" s="217"/>
      <c r="AH157" s="217"/>
      <c r="AI157" s="217"/>
      <c r="AJ157" s="217"/>
      <c r="AP157" s="116">
        <v>50</v>
      </c>
      <c r="AQ157" s="117">
        <f t="shared" si="14"/>
        <v>0</v>
      </c>
      <c r="AR157" s="10" t="s">
        <v>494</v>
      </c>
    </row>
    <row r="158" spans="2:46" ht="15" customHeight="1" x14ac:dyDescent="0.3">
      <c r="C158" s="34"/>
      <c r="D158" s="34"/>
      <c r="E158" s="34"/>
      <c r="F158" s="34"/>
      <c r="G158" s="34"/>
      <c r="H158" s="34"/>
      <c r="I158" s="34"/>
      <c r="J158" s="2"/>
      <c r="K158" s="2"/>
      <c r="L158" s="2"/>
      <c r="M158" s="2"/>
      <c r="N158" s="34"/>
      <c r="O158" s="33"/>
      <c r="P158" s="33"/>
      <c r="Q158" s="33"/>
      <c r="R158" s="33"/>
      <c r="S158" s="33"/>
      <c r="T158" s="33"/>
      <c r="U158" s="33"/>
      <c r="V158" s="33"/>
      <c r="W158" s="33"/>
      <c r="X158" s="33"/>
      <c r="Y158" s="33"/>
      <c r="Z158" s="33"/>
      <c r="AD158" s="2" t="s">
        <v>34</v>
      </c>
      <c r="AE158" s="216">
        <f>IF(ISBLANK($AE$8),0,$AE$8)</f>
        <v>0</v>
      </c>
      <c r="AF158" s="216"/>
      <c r="AG158" s="216"/>
      <c r="AH158" s="216"/>
      <c r="AI158" s="216"/>
      <c r="AJ158" s="216"/>
      <c r="AP158" s="118">
        <v>100</v>
      </c>
      <c r="AQ158" s="119">
        <f t="shared" si="14"/>
        <v>0</v>
      </c>
      <c r="AR158" s="94" t="str">
        <f>IF(AO163="No","2, 5, 10, 25, 50, and 100",IF(R177&gt;0,AP163,IF(AT163=0,AP163,IF(AT163=1,AP163,IF(AT163=2,AP163,IF(AT163=3,Tables!F35,""))))))</f>
        <v>2, 5, 10, 25, 50, and 100</v>
      </c>
      <c r="AS158" s="95" t="str">
        <f>IF(AO163="No","2, 5, 10, 25, 50, and 100",IF(R177&gt;0,AL177,IF(AT163=0,AS163,IF(AT163=1,AS161,IF(AT163=2,AS163,IF(AT163=3,Tables!F73,""))))))</f>
        <v>2, 5, 10, 25, 50, and 100</v>
      </c>
    </row>
    <row r="159" spans="2:46" ht="15" customHeight="1" x14ac:dyDescent="0.3">
      <c r="B159" s="1" t="s">
        <v>300</v>
      </c>
      <c r="AJ159" s="167">
        <f>IF(ISBLANK(C163),0,IF(AO163="Yes","Detain the "&amp;AS158&amp;"-yr storm events to a "&amp;AR158&amp;"-yr discharge.",""))</f>
        <v>0</v>
      </c>
      <c r="AN159" s="20" t="s">
        <v>148</v>
      </c>
      <c r="AO159" s="20" t="s">
        <v>359</v>
      </c>
      <c r="AP159" s="20" t="s">
        <v>360</v>
      </c>
      <c r="AQ159" s="20" t="s">
        <v>361</v>
      </c>
    </row>
    <row r="160" spans="2:46" ht="4.95" customHeight="1" x14ac:dyDescent="0.3"/>
    <row r="161" spans="3:46" ht="15" customHeight="1" x14ac:dyDescent="0.3">
      <c r="C161" s="55"/>
      <c r="D161" s="26" t="s">
        <v>123</v>
      </c>
      <c r="F161" s="55"/>
      <c r="G161" s="26" t="s">
        <v>124</v>
      </c>
      <c r="I161" s="26" t="s">
        <v>327</v>
      </c>
      <c r="Y161" s="136"/>
      <c r="AL161" s="89">
        <f>IF(AND(ISBLANK(C161),ISBLANK(F161)),1,2)</f>
        <v>1</v>
      </c>
      <c r="AM161" s="89">
        <f>IF(ISBLANK(C161),1,2)</f>
        <v>1</v>
      </c>
      <c r="AN161" s="95">
        <f>IF(AO161="Yes",IF($AM$161=2,$AQ$161,0),0)</f>
        <v>0</v>
      </c>
      <c r="AO161" s="89" t="str">
        <f>Tables!F29</f>
        <v>No</v>
      </c>
      <c r="AP161" s="94">
        <f>Tables!F31</f>
        <v>2</v>
      </c>
      <c r="AQ161" s="95">
        <f>VLOOKUP(AP161,$AP$153:$AQ$158,2)</f>
        <v>0</v>
      </c>
      <c r="AS161" s="94" t="str">
        <f>Tables!F30</f>
        <v>2, 5, 10, 25, 50, and 100</v>
      </c>
      <c r="AT161" s="122"/>
    </row>
    <row r="162" spans="3:46" ht="4.95" customHeight="1" x14ac:dyDescent="0.3"/>
    <row r="163" spans="3:46" ht="15" customHeight="1" x14ac:dyDescent="0.3">
      <c r="C163" s="55"/>
      <c r="D163" s="26" t="s">
        <v>123</v>
      </c>
      <c r="F163" s="55"/>
      <c r="G163" s="26" t="s">
        <v>124</v>
      </c>
      <c r="I163" s="26" t="s">
        <v>328</v>
      </c>
      <c r="Y163" s="136"/>
      <c r="AL163" s="89">
        <f>IF(AND(ISBLANK(C163),ISBLANK(F163)),1,2)</f>
        <v>1</v>
      </c>
      <c r="AM163" s="89">
        <f>IF(ISBLANK(C163),1,2)</f>
        <v>1</v>
      </c>
      <c r="AN163" s="95">
        <f>IF(AO163="Yes",IF($AM$163=2,$AQ$163,0),0)</f>
        <v>0</v>
      </c>
      <c r="AO163" s="94" t="str">
        <f>Tables!F32</f>
        <v>No</v>
      </c>
      <c r="AP163" s="94">
        <f>IF(ISBLANK(R177),Tables!F33,R177)</f>
        <v>2</v>
      </c>
      <c r="AQ163" s="95">
        <f>VLOOKUP(AP163,$AP$153:$AQ$158,2)</f>
        <v>0</v>
      </c>
      <c r="AS163" s="95" t="str">
        <f>Tables!F34</f>
        <v>2, 5, 10, 25, 50, and 100</v>
      </c>
      <c r="AT163" s="143">
        <f>IF(AND(ISBLANK(C161),ISBLANK(C163)),0,IF(AND(LEN(C161)&gt;0,ISBLANK(C163)),1,IF(AND(ISBLANK(C161),LEN(C163)&gt;0),2,3)))</f>
        <v>0</v>
      </c>
    </row>
    <row r="164" spans="3:46" ht="4.95" customHeight="1" x14ac:dyDescent="0.3">
      <c r="AL164" s="20"/>
      <c r="AM164" s="20"/>
      <c r="AN164" s="122"/>
      <c r="AO164" s="20"/>
      <c r="AP164" s="123"/>
      <c r="AQ164" s="122"/>
      <c r="AR164" s="122"/>
      <c r="AS164" s="122"/>
      <c r="AT164" s="122"/>
    </row>
    <row r="165" spans="3:46" ht="15" customHeight="1" x14ac:dyDescent="0.3">
      <c r="I165" s="55"/>
      <c r="J165" s="26" t="s">
        <v>123</v>
      </c>
      <c r="L165" s="55"/>
      <c r="M165" s="26" t="s">
        <v>124</v>
      </c>
      <c r="O165" s="26" t="s">
        <v>491</v>
      </c>
      <c r="AL165" s="89">
        <f>IF(AND(ISBLANK(I165),ISBLANK(L165)),1,2)</f>
        <v>1</v>
      </c>
      <c r="AM165" s="89">
        <f>IF(ISBLANK(L165),1,2)</f>
        <v>1</v>
      </c>
      <c r="AN165" s="122"/>
      <c r="AO165" s="20"/>
      <c r="AP165" s="123"/>
      <c r="AQ165" s="122"/>
      <c r="AR165" s="122"/>
      <c r="AS165" s="122"/>
      <c r="AT165" s="122"/>
    </row>
    <row r="166" spans="3:46" ht="4.95" customHeight="1" x14ac:dyDescent="0.3">
      <c r="AN166" s="122"/>
      <c r="AO166" s="20"/>
      <c r="AP166" s="123"/>
      <c r="AQ166" s="122"/>
      <c r="AR166" s="122"/>
      <c r="AS166" s="122"/>
      <c r="AT166" s="122"/>
    </row>
    <row r="167" spans="3:46" ht="15" customHeight="1" x14ac:dyDescent="0.3">
      <c r="I167" s="55"/>
      <c r="J167" s="26" t="s">
        <v>123</v>
      </c>
      <c r="L167" s="55"/>
      <c r="M167" s="26" t="s">
        <v>124</v>
      </c>
      <c r="O167" s="26" t="s">
        <v>492</v>
      </c>
      <c r="AL167" s="89">
        <f>IF(AND(ISBLANK(I167),ISBLANK(L167)),1,2)</f>
        <v>1</v>
      </c>
      <c r="AM167" s="89">
        <f>IF(ISBLANK(I167),1,2)</f>
        <v>1</v>
      </c>
      <c r="AN167" s="122"/>
      <c r="AO167" s="20"/>
      <c r="AP167" s="123"/>
      <c r="AQ167" s="122"/>
      <c r="AR167" s="122"/>
      <c r="AS167" s="122"/>
      <c r="AT167" s="122"/>
    </row>
    <row r="168" spans="3:46" ht="4.95" customHeight="1" x14ac:dyDescent="0.3">
      <c r="AN168" s="122"/>
      <c r="AO168" s="20"/>
      <c r="AP168" s="123"/>
      <c r="AQ168" s="122"/>
      <c r="AR168" s="122"/>
      <c r="AS168" s="122"/>
      <c r="AT168" s="122"/>
    </row>
    <row r="169" spans="3:46" ht="15" customHeight="1" x14ac:dyDescent="0.3">
      <c r="O169" s="55"/>
      <c r="P169" s="26" t="s">
        <v>123</v>
      </c>
      <c r="R169" s="55"/>
      <c r="S169" s="26" t="s">
        <v>124</v>
      </c>
      <c r="U169" s="26" t="s">
        <v>493</v>
      </c>
      <c r="AL169" s="89">
        <f>IF(AND(ISBLANK(O169),ISBLANK(R169)),1,2)</f>
        <v>1</v>
      </c>
      <c r="AM169" s="89">
        <f>IF(ISBLANK(R169),1,2)</f>
        <v>1</v>
      </c>
      <c r="AN169" s="122"/>
      <c r="AO169" s="20"/>
      <c r="AP169" s="123"/>
      <c r="AQ169" s="122"/>
      <c r="AR169" s="122"/>
      <c r="AS169" s="122"/>
      <c r="AT169" s="122"/>
    </row>
    <row r="170" spans="3:46" ht="4.95" customHeight="1" x14ac:dyDescent="0.3">
      <c r="AN170" s="122"/>
      <c r="AO170" s="20"/>
      <c r="AP170" s="123"/>
      <c r="AQ170" s="122"/>
      <c r="AR170" s="122"/>
      <c r="AS170" s="122"/>
      <c r="AT170" s="122"/>
    </row>
    <row r="171" spans="3:46" ht="15" customHeight="1" x14ac:dyDescent="0.3">
      <c r="O171" s="55"/>
      <c r="P171" s="26" t="s">
        <v>123</v>
      </c>
      <c r="R171" s="55"/>
      <c r="S171" s="26" t="s">
        <v>124</v>
      </c>
      <c r="U171" s="26" t="s">
        <v>544</v>
      </c>
      <c r="AL171" s="89">
        <f>IF(AND(ISBLANK(O171),ISBLANK(R171)),1,2)</f>
        <v>1</v>
      </c>
      <c r="AM171" s="89">
        <f>IF(ISBLANK(R171),1,2)</f>
        <v>1</v>
      </c>
      <c r="AN171" s="122"/>
      <c r="AO171" s="20"/>
      <c r="AP171" s="123"/>
      <c r="AQ171" s="122"/>
      <c r="AR171" s="122"/>
      <c r="AS171" s="122"/>
      <c r="AT171" s="122"/>
    </row>
    <row r="172" spans="3:46" ht="4.95" customHeight="1" x14ac:dyDescent="0.3">
      <c r="AL172" s="20"/>
      <c r="AM172" s="20"/>
      <c r="AN172" s="122"/>
      <c r="AO172" s="20"/>
      <c r="AP172" s="123"/>
      <c r="AQ172" s="122"/>
      <c r="AR172" s="122"/>
      <c r="AS172" s="122"/>
      <c r="AT172" s="122"/>
    </row>
    <row r="173" spans="3:46" ht="15" customHeight="1" x14ac:dyDescent="0.3">
      <c r="I173" s="55"/>
      <c r="J173" s="26" t="s">
        <v>123</v>
      </c>
      <c r="L173" s="55"/>
      <c r="M173" s="26" t="s">
        <v>124</v>
      </c>
      <c r="O173" s="26" t="str">
        <f>"The "&amp;Tables!$F$23&amp;" will allow a different post release rate design storm."</f>
        <v>The County will allow a different post release rate design storm.</v>
      </c>
      <c r="AL173" s="89">
        <f>IF(AND(ISBLANK(I173),ISBLANK(L173)),1,2)</f>
        <v>1</v>
      </c>
      <c r="AM173" s="89">
        <f>IF(ISBLANK(I173),1,2)</f>
        <v>1</v>
      </c>
      <c r="AO173" s="20"/>
      <c r="AP173" s="123"/>
      <c r="AQ173" s="122"/>
      <c r="AR173" s="122"/>
      <c r="AS173" s="122"/>
      <c r="AT173" s="122"/>
    </row>
    <row r="174" spans="3:46" ht="4.95" customHeight="1" x14ac:dyDescent="0.3">
      <c r="AO174" s="20"/>
      <c r="AP174" s="123"/>
      <c r="AQ174" s="122"/>
      <c r="AR174" s="122"/>
      <c r="AS174" s="122"/>
      <c r="AT174" s="122"/>
    </row>
    <row r="175" spans="3:46" ht="15" customHeight="1" x14ac:dyDescent="0.3">
      <c r="O175" s="55"/>
      <c r="P175" s="26" t="s">
        <v>123</v>
      </c>
      <c r="R175" s="55"/>
      <c r="S175" s="26" t="s">
        <v>124</v>
      </c>
      <c r="U175" s="26" t="str">
        <f>"Written approval from the "&amp;Tables!$F$23&amp;" is attached?"</f>
        <v>Written approval from the County is attached?</v>
      </c>
      <c r="AL175" s="89">
        <f>IF(AND(ISBLANK(O175),ISBLANK(R175)),1,2)</f>
        <v>1</v>
      </c>
      <c r="AM175" s="89">
        <f>IF(ISBLANK(R175),1,2)</f>
        <v>1</v>
      </c>
      <c r="AO175" s="20"/>
      <c r="AP175" s="123"/>
      <c r="AQ175" s="122"/>
      <c r="AR175" s="122"/>
      <c r="AS175" s="122"/>
      <c r="AT175" s="122"/>
    </row>
    <row r="176" spans="3:46" ht="4.95" customHeight="1" x14ac:dyDescent="0.3">
      <c r="AO176" s="20"/>
      <c r="AP176" s="123"/>
      <c r="AQ176" s="122"/>
      <c r="AR176" s="122"/>
      <c r="AS176" s="122"/>
      <c r="AT176" s="122"/>
    </row>
    <row r="177" spans="2:46" ht="15" customHeight="1" x14ac:dyDescent="0.3">
      <c r="R177" s="168"/>
      <c r="S177" s="166" t="s">
        <v>543</v>
      </c>
      <c r="U177" s="26" t="str">
        <f>"Post release rate design storm allowed by the "&amp;Tables!$F$23&amp;"."</f>
        <v>Post release rate design storm allowed by the County.</v>
      </c>
      <c r="AL177" s="176">
        <f>IF(ISBLANK(R177),0,VLOOKUP(R177,Storms[],2))</f>
        <v>0</v>
      </c>
      <c r="AM177" s="177"/>
      <c r="AO177" s="20"/>
      <c r="AP177" s="123"/>
      <c r="AQ177" s="122"/>
      <c r="AR177" s="122"/>
      <c r="AS177" s="122"/>
      <c r="AT177" s="122"/>
    </row>
    <row r="178" spans="2:46" ht="4.95" customHeight="1" x14ac:dyDescent="0.3">
      <c r="AL178" s="20"/>
      <c r="AM178" s="20"/>
      <c r="AN178" s="122"/>
      <c r="AO178" s="20"/>
      <c r="AP178" s="123"/>
      <c r="AQ178" s="122"/>
      <c r="AR178" s="122"/>
      <c r="AS178" s="122"/>
      <c r="AT178" s="122"/>
    </row>
    <row r="179" spans="2:46" ht="15" customHeight="1" x14ac:dyDescent="0.3">
      <c r="C179" s="55"/>
      <c r="D179" s="26" t="s">
        <v>123</v>
      </c>
      <c r="F179" s="55"/>
      <c r="G179" s="26" t="s">
        <v>124</v>
      </c>
      <c r="I179" s="26" t="str">
        <f>"Does the project have "&amp;Tables!F37&amp;" for the adjacent property?"</f>
        <v>Does the project have Drainage Rights for the adjacent property?</v>
      </c>
      <c r="AL179" s="89">
        <f>IF(AND(ISBLANK(C179),ISBLANK(F179)),1,2)</f>
        <v>1</v>
      </c>
      <c r="AM179" s="89">
        <f>IF(ISBLANK(F179),1,2)</f>
        <v>1</v>
      </c>
      <c r="AN179" s="89">
        <f>IF(ISBLANK(C179),1,2)</f>
        <v>1</v>
      </c>
      <c r="AO179" s="89">
        <f>IF(ISBLANK(C161),0,2)</f>
        <v>0</v>
      </c>
      <c r="AP179" s="89">
        <f>IF(ISBLANK(C163),0,2)</f>
        <v>0</v>
      </c>
      <c r="AQ179" s="89">
        <f>IF(ISBLANK(F179),0,SUM(AO179:AP179))</f>
        <v>0</v>
      </c>
      <c r="AR179" s="20"/>
      <c r="AS179" s="20"/>
      <c r="AT179" s="20"/>
    </row>
    <row r="180" spans="2:46" ht="4.95" customHeight="1" x14ac:dyDescent="0.3">
      <c r="AL180" s="20"/>
      <c r="AM180" s="20"/>
      <c r="AN180" s="122"/>
      <c r="AO180" s="20"/>
      <c r="AP180" s="123"/>
      <c r="AQ180" s="122"/>
      <c r="AR180" s="122"/>
      <c r="AS180" s="122"/>
      <c r="AT180" s="122"/>
    </row>
    <row r="181" spans="2:46" ht="15" customHeight="1" x14ac:dyDescent="0.3">
      <c r="C181" s="55"/>
      <c r="D181" s="26" t="s">
        <v>123</v>
      </c>
      <c r="F181" s="55"/>
      <c r="G181" s="26" t="s">
        <v>124</v>
      </c>
      <c r="I181" s="26" t="s">
        <v>429</v>
      </c>
      <c r="AL181" s="89">
        <f>IF(AND(ISBLANK(C181),ISBLANK(F181)),1,2)</f>
        <v>1</v>
      </c>
      <c r="AM181" s="89">
        <f>IF(ISBLANK(F181),1,2)</f>
        <v>1</v>
      </c>
    </row>
    <row r="182" spans="2:46" ht="4.95" customHeight="1" x14ac:dyDescent="0.3">
      <c r="AL182" s="20"/>
      <c r="AM182" s="20"/>
      <c r="AN182" s="122"/>
      <c r="AO182" s="20"/>
      <c r="AP182" s="123"/>
      <c r="AQ182" s="122"/>
      <c r="AR182" s="122"/>
      <c r="AS182" s="122"/>
      <c r="AT182" s="122"/>
    </row>
    <row r="183" spans="2:46" ht="15" customHeight="1" x14ac:dyDescent="0.3">
      <c r="C183" s="55"/>
      <c r="D183" s="26" t="s">
        <v>123</v>
      </c>
      <c r="F183" s="55"/>
      <c r="G183" s="26" t="s">
        <v>124</v>
      </c>
      <c r="I183" s="26" t="s">
        <v>427</v>
      </c>
      <c r="J183" s="4"/>
      <c r="K183" s="4"/>
      <c r="L183" s="4"/>
      <c r="AL183" s="89">
        <f>IF(AND(ISBLANK(C183),ISBLANK(F183)),1,2)</f>
        <v>1</v>
      </c>
      <c r="AM183" s="89">
        <f>IF(ISBLANK(C183),1,2)</f>
        <v>1</v>
      </c>
    </row>
    <row r="184" spans="2:46" ht="4.95" customHeight="1" x14ac:dyDescent="0.3">
      <c r="C184" s="4"/>
      <c r="D184" s="4"/>
      <c r="E184" s="4"/>
      <c r="F184" s="4"/>
      <c r="G184" s="4"/>
      <c r="H184" s="4"/>
      <c r="I184" s="4"/>
      <c r="J184" s="4"/>
      <c r="K184" s="4"/>
      <c r="L184" s="4"/>
    </row>
    <row r="185" spans="2:46" ht="15" customHeight="1" x14ac:dyDescent="0.3">
      <c r="I185" s="55"/>
      <c r="J185" s="26" t="s">
        <v>123</v>
      </c>
      <c r="L185" s="55"/>
      <c r="M185" s="26" t="s">
        <v>124</v>
      </c>
      <c r="N185" s="4"/>
      <c r="O185" s="26" t="s">
        <v>428</v>
      </c>
      <c r="AL185" s="89">
        <f>IF(ISBLANK(I185),1,2)</f>
        <v>1</v>
      </c>
      <c r="AM185" s="89">
        <f>IF(ISBLANK(L185),1,2)</f>
        <v>1</v>
      </c>
      <c r="AN185" s="89">
        <f>SUM(AL185:AM185)</f>
        <v>2</v>
      </c>
      <c r="AO185" s="20"/>
      <c r="AP185" s="20"/>
    </row>
    <row r="186" spans="2:46" ht="4.95" customHeight="1" x14ac:dyDescent="0.3"/>
    <row r="187" spans="2:46" ht="15" customHeight="1" x14ac:dyDescent="0.3"/>
    <row r="188" spans="2:46" ht="15" customHeight="1" x14ac:dyDescent="0.3"/>
    <row r="189" spans="2:46" ht="15" customHeight="1" x14ac:dyDescent="0.3">
      <c r="B189" s="1" t="s">
        <v>19</v>
      </c>
      <c r="C189" s="1"/>
      <c r="D189" s="1"/>
      <c r="E189" s="1"/>
      <c r="F189" s="1"/>
      <c r="G189" s="1"/>
      <c r="H189" s="1"/>
      <c r="I189" s="1"/>
    </row>
    <row r="190" spans="2:46" ht="15" customHeight="1" x14ac:dyDescent="0.3">
      <c r="B190" s="83" t="s">
        <v>445</v>
      </c>
      <c r="C190" s="53"/>
      <c r="D190" s="53"/>
      <c r="E190" s="53"/>
      <c r="F190" s="53"/>
      <c r="G190" s="53"/>
      <c r="H190" s="53"/>
      <c r="I190" s="53"/>
      <c r="J190" s="53"/>
      <c r="K190" s="53"/>
      <c r="L190" s="53"/>
      <c r="M190" s="53"/>
      <c r="N190" s="53"/>
      <c r="O190" s="53"/>
      <c r="P190" s="53"/>
      <c r="Q190" s="53"/>
      <c r="R190" s="53"/>
      <c r="S190" s="53"/>
      <c r="T190" s="53"/>
      <c r="U190" s="53"/>
      <c r="V190" s="53"/>
      <c r="W190" s="53"/>
      <c r="X190" s="53"/>
      <c r="Y190" s="53"/>
      <c r="Z190" s="53"/>
      <c r="AA190" s="53"/>
      <c r="AB190" s="53"/>
      <c r="AC190" s="53"/>
      <c r="AD190" s="53"/>
      <c r="AE190" s="53"/>
      <c r="AF190" s="53"/>
      <c r="AG190" s="53"/>
      <c r="AH190" s="53"/>
      <c r="AI190" s="53"/>
    </row>
    <row r="191" spans="2:46" ht="15" customHeight="1" x14ac:dyDescent="0.3">
      <c r="B191" s="53"/>
      <c r="C191" s="58" t="s">
        <v>111</v>
      </c>
      <c r="D191" s="83" t="str">
        <f>"Is designed in accordance with the latest version of the "&amp;Tables!F23&amp;"'s requirements;"</f>
        <v>Is designed in accordance with the latest version of the County's requirements;</v>
      </c>
      <c r="E191" s="53"/>
      <c r="F191" s="53"/>
      <c r="G191" s="53"/>
      <c r="H191" s="53"/>
      <c r="I191" s="53"/>
      <c r="J191" s="53"/>
      <c r="K191" s="53"/>
      <c r="L191" s="53"/>
      <c r="M191" s="53"/>
      <c r="N191" s="53"/>
      <c r="O191" s="53"/>
      <c r="P191" s="53"/>
      <c r="Q191" s="53"/>
      <c r="R191" s="53"/>
      <c r="S191" s="53"/>
      <c r="T191" s="53"/>
      <c r="U191" s="53"/>
      <c r="V191" s="53"/>
      <c r="W191" s="53"/>
      <c r="X191" s="53"/>
      <c r="Y191" s="53"/>
      <c r="Z191" s="53"/>
      <c r="AA191" s="53"/>
      <c r="AB191" s="53"/>
      <c r="AC191" s="53"/>
      <c r="AD191" s="53"/>
      <c r="AE191" s="53"/>
      <c r="AF191" s="53"/>
      <c r="AG191" s="53"/>
      <c r="AH191" s="53"/>
      <c r="AI191" s="53"/>
    </row>
    <row r="192" spans="2:46" ht="15" customHeight="1" x14ac:dyDescent="0.3">
      <c r="B192" s="53"/>
      <c r="C192" s="58" t="s">
        <v>111</v>
      </c>
      <c r="D192" s="83" t="s">
        <v>261</v>
      </c>
      <c r="E192" s="53"/>
      <c r="F192" s="53"/>
      <c r="G192" s="53"/>
      <c r="H192" s="53"/>
      <c r="I192" s="53"/>
      <c r="J192" s="53"/>
      <c r="K192" s="53"/>
      <c r="L192" s="53"/>
      <c r="M192" s="53"/>
      <c r="N192" s="53"/>
      <c r="O192" s="53"/>
      <c r="P192" s="53"/>
      <c r="Q192" s="53"/>
      <c r="R192" s="53"/>
      <c r="S192" s="53"/>
      <c r="T192" s="53"/>
      <c r="U192" s="53"/>
      <c r="V192" s="53"/>
      <c r="W192" s="53"/>
      <c r="X192" s="53"/>
      <c r="Y192" s="53"/>
      <c r="Z192" s="53"/>
      <c r="AA192" s="53"/>
      <c r="AB192" s="53"/>
      <c r="AC192" s="53"/>
      <c r="AD192" s="53"/>
      <c r="AE192" s="53"/>
      <c r="AF192" s="53"/>
      <c r="AG192" s="53"/>
      <c r="AH192" s="53"/>
      <c r="AI192" s="53"/>
    </row>
    <row r="193" spans="2:35" ht="15" customHeight="1" x14ac:dyDescent="0.3">
      <c r="B193" s="53"/>
      <c r="C193" s="58" t="s">
        <v>111</v>
      </c>
      <c r="D193" s="83" t="s">
        <v>465</v>
      </c>
      <c r="E193" s="83"/>
      <c r="F193" s="83"/>
      <c r="G193" s="83"/>
      <c r="H193" s="83"/>
      <c r="I193" s="83"/>
      <c r="J193" s="83"/>
      <c r="K193" s="83"/>
      <c r="L193" s="83"/>
      <c r="M193" s="83"/>
      <c r="N193" s="83"/>
      <c r="O193" s="83"/>
      <c r="P193" s="83"/>
      <c r="Q193" s="83"/>
      <c r="R193" s="83"/>
      <c r="S193" s="83"/>
      <c r="T193" s="83"/>
      <c r="U193" s="83"/>
      <c r="V193" s="83"/>
      <c r="W193" s="83"/>
      <c r="X193" s="83"/>
      <c r="Y193" s="83"/>
      <c r="Z193" s="83"/>
      <c r="AA193" s="83"/>
      <c r="AB193" s="83"/>
      <c r="AC193" s="83"/>
      <c r="AD193" s="83"/>
      <c r="AE193" s="83"/>
      <c r="AF193" s="83"/>
      <c r="AG193" s="83"/>
      <c r="AH193" s="83"/>
      <c r="AI193" s="83"/>
    </row>
    <row r="194" spans="2:35" ht="15" customHeight="1" x14ac:dyDescent="0.3">
      <c r="B194" s="53"/>
      <c r="C194" s="58"/>
      <c r="D194" s="83" t="s">
        <v>466</v>
      </c>
      <c r="E194" s="83"/>
      <c r="F194" s="83"/>
      <c r="G194" s="83"/>
      <c r="H194" s="83"/>
      <c r="I194" s="83"/>
      <c r="J194" s="83"/>
      <c r="K194" s="83"/>
      <c r="L194" s="83"/>
      <c r="M194" s="83"/>
      <c r="N194" s="83"/>
      <c r="O194" s="83"/>
      <c r="P194" s="83"/>
      <c r="Q194" s="83"/>
      <c r="R194" s="83"/>
      <c r="S194" s="83"/>
      <c r="T194" s="83"/>
      <c r="U194" s="83"/>
      <c r="V194" s="83"/>
      <c r="W194" s="83"/>
      <c r="X194" s="83"/>
      <c r="Y194" s="83"/>
      <c r="Z194" s="83"/>
      <c r="AA194" s="83"/>
      <c r="AB194" s="83"/>
      <c r="AC194" s="83"/>
      <c r="AD194" s="83"/>
      <c r="AE194" s="83"/>
      <c r="AF194" s="83"/>
      <c r="AG194" s="83"/>
      <c r="AH194" s="83"/>
      <c r="AI194" s="83"/>
    </row>
    <row r="195" spans="2:35" ht="15" customHeight="1" x14ac:dyDescent="0.3">
      <c r="B195" s="53"/>
      <c r="C195" s="58" t="s">
        <v>111</v>
      </c>
      <c r="D195" s="83" t="s">
        <v>467</v>
      </c>
      <c r="E195" s="83"/>
      <c r="F195" s="83"/>
      <c r="G195" s="83"/>
      <c r="H195" s="83"/>
      <c r="I195" s="83"/>
      <c r="J195" s="83"/>
      <c r="K195" s="83"/>
      <c r="L195" s="83"/>
      <c r="M195" s="83"/>
      <c r="N195" s="83"/>
      <c r="O195" s="83"/>
      <c r="P195" s="83"/>
      <c r="Q195" s="83"/>
      <c r="R195" s="83"/>
      <c r="S195" s="83"/>
      <c r="T195" s="83"/>
      <c r="U195" s="83"/>
      <c r="V195" s="83"/>
      <c r="W195" s="83"/>
      <c r="X195" s="83"/>
      <c r="Y195" s="83"/>
      <c r="Z195" s="83"/>
      <c r="AA195" s="83"/>
      <c r="AB195" s="83"/>
      <c r="AC195" s="83"/>
      <c r="AD195" s="83"/>
      <c r="AE195" s="83"/>
      <c r="AF195" s="83"/>
      <c r="AG195" s="83"/>
      <c r="AH195" s="83"/>
      <c r="AI195" s="83"/>
    </row>
    <row r="196" spans="2:35" ht="15" customHeight="1" x14ac:dyDescent="0.3">
      <c r="B196" s="53"/>
      <c r="C196" s="58"/>
      <c r="D196" s="83" t="s">
        <v>468</v>
      </c>
      <c r="E196" s="83"/>
      <c r="F196" s="83"/>
      <c r="G196" s="83"/>
      <c r="H196" s="83"/>
      <c r="I196" s="83"/>
      <c r="J196" s="83"/>
      <c r="K196" s="83"/>
      <c r="L196" s="83"/>
      <c r="M196" s="83"/>
      <c r="N196" s="83"/>
      <c r="O196" s="83"/>
      <c r="P196" s="83"/>
      <c r="Q196" s="83"/>
      <c r="R196" s="83"/>
      <c r="S196" s="83"/>
      <c r="T196" s="83"/>
      <c r="U196" s="83"/>
      <c r="V196" s="83"/>
      <c r="W196" s="83"/>
      <c r="X196" s="83"/>
      <c r="Y196" s="83"/>
      <c r="Z196" s="83"/>
      <c r="AA196" s="83"/>
      <c r="AB196" s="83"/>
      <c r="AC196" s="83"/>
      <c r="AD196" s="83"/>
      <c r="AE196" s="83"/>
      <c r="AF196" s="83"/>
      <c r="AG196" s="83"/>
      <c r="AH196" s="83"/>
      <c r="AI196" s="83"/>
    </row>
    <row r="197" spans="2:35" ht="15" customHeight="1" x14ac:dyDescent="0.3">
      <c r="B197" s="53"/>
      <c r="C197" s="58" t="s">
        <v>111</v>
      </c>
      <c r="D197" s="83" t="s">
        <v>262</v>
      </c>
      <c r="E197" s="83"/>
      <c r="F197" s="83"/>
      <c r="G197" s="83"/>
      <c r="H197" s="83"/>
      <c r="I197" s="83"/>
      <c r="J197" s="83"/>
      <c r="K197" s="83"/>
      <c r="L197" s="83"/>
      <c r="M197" s="83"/>
      <c r="N197" s="83"/>
      <c r="O197" s="83"/>
      <c r="P197" s="83"/>
      <c r="Q197" s="83"/>
      <c r="R197" s="83"/>
      <c r="S197" s="83"/>
      <c r="T197" s="83"/>
      <c r="U197" s="83"/>
      <c r="V197" s="83"/>
      <c r="W197" s="83"/>
      <c r="X197" s="83"/>
      <c r="Y197" s="83"/>
      <c r="Z197" s="83"/>
      <c r="AA197" s="83"/>
      <c r="AB197" s="83"/>
      <c r="AC197" s="83"/>
      <c r="AD197" s="83"/>
      <c r="AE197" s="83"/>
      <c r="AF197" s="83"/>
      <c r="AG197" s="83"/>
      <c r="AH197" s="83"/>
      <c r="AI197" s="83"/>
    </row>
    <row r="198" spans="2:35" ht="15" customHeight="1" x14ac:dyDescent="0.3"/>
    <row r="199" spans="2:35" ht="15" customHeight="1" x14ac:dyDescent="0.3">
      <c r="E199" s="2" t="s">
        <v>171</v>
      </c>
      <c r="F199" s="179"/>
      <c r="G199" s="179"/>
      <c r="H199" s="179"/>
      <c r="I199" s="179"/>
      <c r="J199" s="179"/>
      <c r="K199" s="179"/>
      <c r="L199" s="179"/>
      <c r="M199" s="179"/>
      <c r="N199" s="179"/>
      <c r="O199" s="179"/>
      <c r="P199" s="179"/>
      <c r="Q199" s="179"/>
      <c r="R199" s="179"/>
      <c r="S199" s="179"/>
      <c r="T199" s="179"/>
      <c r="U199" s="179"/>
      <c r="V199" s="179"/>
      <c r="W199" s="179"/>
      <c r="X199" s="179"/>
      <c r="Y199" s="179"/>
      <c r="Z199" s="179"/>
      <c r="AC199" s="2" t="s">
        <v>290</v>
      </c>
      <c r="AD199" s="2"/>
      <c r="AE199" s="2"/>
      <c r="AF199" s="2"/>
    </row>
    <row r="200" spans="2:35" ht="15" customHeight="1" x14ac:dyDescent="0.3">
      <c r="E200" s="2" t="s">
        <v>132</v>
      </c>
      <c r="F200" s="212"/>
      <c r="G200" s="212"/>
      <c r="H200" s="212"/>
      <c r="I200" s="212"/>
      <c r="J200" s="212"/>
      <c r="K200" s="212"/>
      <c r="L200" s="212"/>
      <c r="M200" s="212"/>
      <c r="N200" s="212"/>
      <c r="O200" s="212"/>
      <c r="P200" s="212"/>
      <c r="Q200" s="212"/>
      <c r="R200" s="212"/>
      <c r="S200" s="212"/>
      <c r="T200" s="212"/>
      <c r="U200" s="212"/>
      <c r="V200" s="212"/>
      <c r="W200" s="212"/>
      <c r="X200" s="212"/>
      <c r="Y200" s="212"/>
      <c r="Z200" s="212"/>
    </row>
    <row r="201" spans="2:35" ht="15" customHeight="1" x14ac:dyDescent="0.3">
      <c r="E201" s="2" t="s">
        <v>133</v>
      </c>
      <c r="F201" s="212"/>
      <c r="G201" s="212"/>
      <c r="H201" s="212"/>
      <c r="I201" s="212"/>
      <c r="J201" s="212"/>
      <c r="K201" s="212"/>
      <c r="L201" s="212"/>
      <c r="M201" s="212"/>
      <c r="N201" s="212"/>
      <c r="O201" s="212"/>
      <c r="P201" s="212"/>
      <c r="Q201" s="212"/>
      <c r="R201" s="212"/>
      <c r="S201" s="212"/>
      <c r="T201" s="212"/>
      <c r="U201" s="212"/>
      <c r="V201" s="212"/>
      <c r="W201" s="212"/>
      <c r="X201" s="212"/>
      <c r="Y201" s="212"/>
      <c r="Z201" s="212"/>
    </row>
    <row r="202" spans="2:35" ht="15" customHeight="1" x14ac:dyDescent="0.3">
      <c r="E202" s="2" t="s">
        <v>273</v>
      </c>
      <c r="F202" s="212"/>
      <c r="G202" s="212"/>
      <c r="H202" s="212"/>
      <c r="I202" s="212"/>
      <c r="J202" s="212"/>
      <c r="K202" s="212"/>
      <c r="L202" s="212"/>
      <c r="M202" s="61"/>
      <c r="N202" s="61"/>
      <c r="O202" s="98" t="s">
        <v>136</v>
      </c>
      <c r="P202" s="212"/>
      <c r="Q202" s="212"/>
      <c r="R202" s="212"/>
      <c r="S202" s="212"/>
      <c r="T202" s="61"/>
      <c r="U202" s="61"/>
      <c r="V202" s="61"/>
      <c r="W202" s="98" t="s">
        <v>137</v>
      </c>
      <c r="X202" s="219"/>
      <c r="Y202" s="219"/>
      <c r="Z202" s="219"/>
    </row>
    <row r="203" spans="2:35" ht="15" customHeight="1" x14ac:dyDescent="0.3">
      <c r="E203" s="2" t="s">
        <v>134</v>
      </c>
      <c r="F203" s="222"/>
      <c r="G203" s="222"/>
      <c r="H203" s="222"/>
      <c r="I203" s="222"/>
      <c r="J203" s="222"/>
      <c r="K203" s="222"/>
      <c r="L203" s="222"/>
      <c r="M203" s="222"/>
      <c r="N203" s="222"/>
      <c r="O203" s="222"/>
      <c r="P203" s="222"/>
      <c r="Q203" s="222"/>
      <c r="R203" s="222"/>
      <c r="S203" s="222"/>
      <c r="T203" s="222"/>
      <c r="U203" s="222"/>
      <c r="V203" s="222"/>
      <c r="W203" s="222"/>
      <c r="X203" s="222"/>
      <c r="Y203" s="222"/>
      <c r="Z203" s="222"/>
    </row>
    <row r="204" spans="2:35" ht="15" customHeight="1" x14ac:dyDescent="0.3">
      <c r="E204" s="2" t="s">
        <v>138</v>
      </c>
      <c r="F204" s="223"/>
      <c r="G204" s="223"/>
      <c r="H204" s="223"/>
      <c r="I204" s="223"/>
      <c r="J204" s="223"/>
      <c r="V204" s="53"/>
      <c r="W204" s="53"/>
      <c r="X204" s="53"/>
    </row>
    <row r="205" spans="2:35" ht="15" customHeight="1" x14ac:dyDescent="0.3">
      <c r="E205" s="2"/>
      <c r="F205" s="61"/>
      <c r="G205" s="61"/>
      <c r="H205" s="61"/>
      <c r="I205" s="61"/>
      <c r="J205" s="61"/>
      <c r="V205" s="53"/>
      <c r="W205" s="53"/>
      <c r="X205" s="53"/>
    </row>
    <row r="206" spans="2:35" ht="15" customHeight="1" x14ac:dyDescent="0.3">
      <c r="E206" s="2" t="s">
        <v>172</v>
      </c>
      <c r="F206" s="78"/>
      <c r="G206" s="78"/>
      <c r="H206" s="78"/>
      <c r="I206" s="78"/>
      <c r="J206" s="78"/>
      <c r="K206" s="78"/>
      <c r="L206" s="78"/>
      <c r="M206" s="78"/>
      <c r="N206" s="78"/>
      <c r="O206" s="78"/>
      <c r="P206" s="78"/>
      <c r="Q206" s="78"/>
      <c r="R206" s="78"/>
      <c r="S206" s="78"/>
      <c r="T206" s="78"/>
      <c r="U206" s="78"/>
      <c r="V206" s="53"/>
      <c r="W206" s="53"/>
      <c r="X206" s="53"/>
      <c r="AC206" s="2" t="s">
        <v>168</v>
      </c>
      <c r="AD206" s="218"/>
      <c r="AE206" s="218"/>
      <c r="AF206" s="218"/>
      <c r="AG206" s="218"/>
      <c r="AH206" s="218"/>
    </row>
    <row r="207" spans="2:35" ht="15" customHeight="1" x14ac:dyDescent="0.3"/>
    <row r="208" spans="2:35" ht="15" customHeight="1" x14ac:dyDescent="0.3"/>
    <row r="209" spans="2:38" ht="15" customHeight="1" x14ac:dyDescent="0.3">
      <c r="B209" s="194">
        <f>Tables!$F$13</f>
        <v>45931</v>
      </c>
      <c r="C209" s="194"/>
      <c r="D209" s="194"/>
      <c r="E209" s="194"/>
      <c r="F209" s="194"/>
      <c r="G209" s="194"/>
      <c r="H209" s="194"/>
      <c r="R209" s="195" t="s">
        <v>344</v>
      </c>
      <c r="S209" s="195"/>
      <c r="T209" s="195"/>
      <c r="U209" s="195"/>
    </row>
    <row r="210" spans="2:38" ht="15" customHeight="1" x14ac:dyDescent="0.3">
      <c r="C210" s="2" t="s">
        <v>1</v>
      </c>
      <c r="D210" s="192">
        <f>IF(ISBLANK($E$7),0,$E$7)</f>
        <v>0</v>
      </c>
      <c r="E210" s="192"/>
      <c r="F210" s="192"/>
      <c r="G210" s="192"/>
      <c r="H210" s="192"/>
      <c r="I210" s="192"/>
      <c r="J210" s="192"/>
      <c r="K210" s="192"/>
      <c r="L210" s="192"/>
      <c r="M210" s="192"/>
      <c r="N210" s="192"/>
      <c r="O210" s="192"/>
      <c r="P210" s="192"/>
      <c r="Q210" s="192"/>
      <c r="R210" s="192"/>
      <c r="S210" s="192"/>
      <c r="T210" s="192"/>
      <c r="U210" s="192"/>
      <c r="V210" s="192"/>
      <c r="W210" s="192"/>
      <c r="X210" s="192"/>
      <c r="Y210" s="192"/>
      <c r="Z210" s="33"/>
      <c r="AD210" s="2" t="s">
        <v>21</v>
      </c>
      <c r="AE210" s="217">
        <f>IF(ISBLANK($AE$7),0,$AE$7)</f>
        <v>0</v>
      </c>
      <c r="AF210" s="217"/>
      <c r="AG210" s="217"/>
      <c r="AH210" s="217"/>
      <c r="AI210" s="217"/>
      <c r="AJ210" s="217"/>
    </row>
    <row r="211" spans="2:38" ht="15" customHeight="1" x14ac:dyDescent="0.3">
      <c r="C211" s="34"/>
      <c r="D211" s="34"/>
      <c r="E211" s="34"/>
      <c r="F211" s="34"/>
      <c r="G211" s="34"/>
      <c r="H211" s="34"/>
      <c r="I211" s="34"/>
      <c r="J211" s="2"/>
      <c r="K211" s="2"/>
      <c r="L211" s="2"/>
      <c r="M211" s="2"/>
      <c r="N211" s="34"/>
      <c r="O211" s="33"/>
      <c r="P211" s="33"/>
      <c r="Q211" s="33"/>
      <c r="R211" s="33"/>
      <c r="S211" s="33"/>
      <c r="T211" s="33"/>
      <c r="U211" s="33"/>
      <c r="V211" s="33"/>
      <c r="W211" s="33"/>
      <c r="X211" s="33"/>
      <c r="Y211" s="33"/>
      <c r="Z211" s="33"/>
      <c r="AD211" s="2" t="s">
        <v>34</v>
      </c>
      <c r="AE211" s="216">
        <f>IF(ISBLANK($AE$8),0,$AE$8)</f>
        <v>0</v>
      </c>
      <c r="AF211" s="216"/>
      <c r="AG211" s="216"/>
      <c r="AH211" s="216"/>
      <c r="AI211" s="216"/>
      <c r="AJ211" s="216"/>
    </row>
    <row r="212" spans="2:38" ht="15" customHeight="1" x14ac:dyDescent="0.3"/>
    <row r="213" spans="2:38" ht="15" customHeight="1" x14ac:dyDescent="0.3">
      <c r="B213" s="38" t="s">
        <v>85</v>
      </c>
      <c r="C213" s="39"/>
      <c r="D213" s="39"/>
      <c r="E213" s="39"/>
      <c r="F213" s="39"/>
      <c r="G213" s="39"/>
      <c r="H213" s="39"/>
      <c r="I213" s="39"/>
      <c r="J213" s="39"/>
      <c r="K213" s="39"/>
      <c r="L213" s="39"/>
      <c r="M213" s="39"/>
      <c r="N213" s="39"/>
      <c r="O213" s="39"/>
      <c r="P213" s="39"/>
      <c r="Q213" s="39"/>
      <c r="R213" s="39"/>
      <c r="S213" s="39"/>
      <c r="T213" s="39"/>
      <c r="U213" s="39"/>
      <c r="V213" s="39"/>
      <c r="W213" s="39"/>
      <c r="X213" s="39"/>
      <c r="Y213" s="39"/>
      <c r="Z213" s="39"/>
      <c r="AA213" s="39"/>
      <c r="AB213" s="39"/>
      <c r="AC213" s="39"/>
      <c r="AD213" s="39"/>
      <c r="AE213" s="39"/>
      <c r="AF213" s="39"/>
      <c r="AG213" s="39"/>
      <c r="AH213" s="39"/>
      <c r="AI213" s="39"/>
      <c r="AJ213" s="40"/>
      <c r="AL213" s="10" t="s">
        <v>274</v>
      </c>
    </row>
    <row r="214" spans="2:38" ht="15" customHeight="1" x14ac:dyDescent="0.3">
      <c r="B214" s="41"/>
      <c r="C214" s="7"/>
      <c r="D214" s="7"/>
      <c r="E214" s="7"/>
      <c r="F214" s="7"/>
      <c r="G214" s="7"/>
      <c r="H214" s="7"/>
      <c r="I214" s="7"/>
      <c r="J214" s="42" t="s">
        <v>86</v>
      </c>
      <c r="K214" s="42"/>
      <c r="L214" s="43" t="s">
        <v>185</v>
      </c>
      <c r="M214" s="42"/>
      <c r="N214" s="42"/>
      <c r="O214" s="42"/>
      <c r="P214" s="43"/>
      <c r="Q214" s="7"/>
      <c r="R214" s="7"/>
      <c r="S214" s="7"/>
      <c r="T214" s="7"/>
      <c r="U214" s="7"/>
      <c r="V214" s="7"/>
      <c r="W214" s="7"/>
      <c r="X214" s="7"/>
      <c r="Y214" s="7"/>
      <c r="Z214" s="7"/>
      <c r="AA214" s="7"/>
      <c r="AB214" s="7"/>
      <c r="AC214" s="7"/>
      <c r="AD214" s="7"/>
      <c r="AE214" s="7"/>
      <c r="AF214" s="7"/>
      <c r="AG214" s="7"/>
      <c r="AH214" s="7"/>
      <c r="AI214" s="7"/>
      <c r="AJ214" s="44"/>
      <c r="AL214" s="89">
        <f>SUM(AL216:AL234)</f>
        <v>13</v>
      </c>
    </row>
    <row r="215" spans="2:38" ht="15" customHeight="1" x14ac:dyDescent="0.3">
      <c r="B215" s="41"/>
      <c r="C215" s="7"/>
      <c r="D215" s="7"/>
      <c r="E215" s="7"/>
      <c r="F215" s="7"/>
      <c r="G215" s="7"/>
      <c r="H215" s="7"/>
      <c r="I215" s="7"/>
      <c r="J215" s="8" t="s">
        <v>444</v>
      </c>
      <c r="K215" s="8"/>
      <c r="L215" s="7" t="str">
        <f>IF(ISBLANK(AD6),Tables!J21,"")</f>
        <v>Parcel No. has not been provided</v>
      </c>
      <c r="M215" s="42"/>
      <c r="N215" s="42"/>
      <c r="O215" s="42"/>
      <c r="P215" s="43"/>
      <c r="Q215" s="7"/>
      <c r="R215" s="7"/>
      <c r="S215" s="7"/>
      <c r="T215" s="7"/>
      <c r="U215" s="7"/>
      <c r="V215" s="7"/>
      <c r="W215" s="7"/>
      <c r="X215" s="7"/>
      <c r="Y215" s="7"/>
      <c r="Z215" s="7"/>
      <c r="AA215" s="7"/>
      <c r="AB215" s="7"/>
      <c r="AC215" s="7"/>
      <c r="AD215" s="7"/>
      <c r="AE215" s="7"/>
      <c r="AF215" s="7"/>
      <c r="AG215" s="7"/>
      <c r="AH215" s="7"/>
      <c r="AI215" s="7"/>
      <c r="AJ215" s="44"/>
      <c r="AL215" s="89">
        <f>IF(L215="",0,1)</f>
        <v>1</v>
      </c>
    </row>
    <row r="216" spans="2:38" ht="15" customHeight="1" x14ac:dyDescent="0.3">
      <c r="B216" s="41"/>
      <c r="C216" s="7"/>
      <c r="D216" s="7"/>
      <c r="E216" s="7"/>
      <c r="F216" s="7"/>
      <c r="G216" s="7"/>
      <c r="H216" s="7"/>
      <c r="I216" s="7"/>
      <c r="J216" s="8" t="s">
        <v>87</v>
      </c>
      <c r="K216" s="8"/>
      <c r="L216" s="7" t="str">
        <f>IF(AND(AL28&lt;6,AM28=6),Tables!J2,IF(AND(AL28=6,AM28=6),"",Tables!J2))</f>
        <v>Pre Total not compeleted</v>
      </c>
      <c r="M216" s="8"/>
      <c r="N216" s="8"/>
      <c r="O216" s="8"/>
      <c r="P216" s="7"/>
      <c r="Q216" s="7"/>
      <c r="R216" s="7"/>
      <c r="S216" s="7"/>
      <c r="T216" s="7"/>
      <c r="U216" s="7"/>
      <c r="V216" s="7"/>
      <c r="W216" s="7"/>
      <c r="X216" s="7"/>
      <c r="Y216" s="7"/>
      <c r="Z216" s="7"/>
      <c r="AA216" s="7"/>
      <c r="AB216" s="7"/>
      <c r="AC216" s="7"/>
      <c r="AD216" s="7"/>
      <c r="AE216" s="7"/>
      <c r="AF216" s="7"/>
      <c r="AG216" s="7"/>
      <c r="AH216" s="7"/>
      <c r="AI216" s="7"/>
      <c r="AJ216" s="44"/>
      <c r="AL216" s="89">
        <f>IF(L216="",0,1)</f>
        <v>1</v>
      </c>
    </row>
    <row r="217" spans="2:38" ht="15" customHeight="1" x14ac:dyDescent="0.3">
      <c r="B217" s="41"/>
      <c r="C217" s="7"/>
      <c r="D217" s="7"/>
      <c r="E217" s="7"/>
      <c r="F217" s="7"/>
      <c r="G217" s="7"/>
      <c r="H217" s="7"/>
      <c r="I217" s="7"/>
      <c r="J217" s="8" t="s">
        <v>88</v>
      </c>
      <c r="K217" s="8"/>
      <c r="L217" s="7" t="str">
        <f>IF(AND(AL41&lt;6,AM41=6),Tables!J3,IF(AND(AL41=6,AM41=6),"",Tables!J3))</f>
        <v>Post Total not completed</v>
      </c>
      <c r="M217" s="8"/>
      <c r="N217" s="8"/>
      <c r="O217" s="8"/>
      <c r="P217" s="7"/>
      <c r="Q217" s="7"/>
      <c r="R217" s="7"/>
      <c r="S217" s="7"/>
      <c r="T217" s="7"/>
      <c r="U217" s="7"/>
      <c r="V217" s="7"/>
      <c r="W217" s="7"/>
      <c r="X217" s="7"/>
      <c r="Y217" s="7"/>
      <c r="Z217" s="7"/>
      <c r="AA217" s="7"/>
      <c r="AB217" s="7"/>
      <c r="AC217" s="7"/>
      <c r="AD217" s="7"/>
      <c r="AE217" s="7"/>
      <c r="AF217" s="7"/>
      <c r="AG217" s="7"/>
      <c r="AH217" s="7"/>
      <c r="AI217" s="7"/>
      <c r="AJ217" s="44"/>
      <c r="AL217" s="89">
        <f t="shared" ref="AL217:AL234" si="15">IF(L217="",0,1)</f>
        <v>1</v>
      </c>
    </row>
    <row r="218" spans="2:38" ht="15" customHeight="1" x14ac:dyDescent="0.3">
      <c r="B218" s="41"/>
      <c r="C218" s="7"/>
      <c r="D218" s="79"/>
      <c r="E218" s="7"/>
      <c r="F218" s="7"/>
      <c r="G218" s="7"/>
      <c r="H218" s="7"/>
      <c r="I218" s="7"/>
      <c r="J218" s="92" t="s">
        <v>446</v>
      </c>
      <c r="K218" s="8"/>
      <c r="L218" s="7"/>
      <c r="M218" s="8"/>
      <c r="N218" s="8"/>
      <c r="O218" s="8"/>
      <c r="P218" s="7"/>
      <c r="Q218" s="7"/>
      <c r="R218" s="7"/>
      <c r="S218" s="7"/>
      <c r="T218" s="7"/>
      <c r="U218" s="7"/>
      <c r="V218" s="7"/>
      <c r="W218" s="7"/>
      <c r="X218" s="7"/>
      <c r="Y218" s="7"/>
      <c r="Z218" s="7"/>
      <c r="AA218" s="7"/>
      <c r="AB218" s="7"/>
      <c r="AC218" s="7"/>
      <c r="AD218" s="7"/>
      <c r="AE218" s="7"/>
      <c r="AF218" s="7"/>
      <c r="AG218" s="7"/>
      <c r="AH218" s="7"/>
      <c r="AI218" s="7"/>
      <c r="AJ218" s="44"/>
      <c r="AL218" s="89">
        <f t="shared" si="15"/>
        <v>0</v>
      </c>
    </row>
    <row r="219" spans="2:38" ht="15" customHeight="1" x14ac:dyDescent="0.3">
      <c r="B219" s="41"/>
      <c r="C219" s="7"/>
      <c r="D219" s="7"/>
      <c r="E219" s="7"/>
      <c r="F219" s="7"/>
      <c r="G219" s="7"/>
      <c r="H219" s="7"/>
      <c r="I219" s="7"/>
      <c r="J219" s="8" t="s">
        <v>241</v>
      </c>
      <c r="K219" s="8"/>
      <c r="L219" s="7" t="str">
        <f>IF(ISBLANK(H71),Tables!J11,(IF(H71&gt;5,Tables!J11,"")))</f>
        <v>Drainage area exceeds the recommended 5.0 acre maximum</v>
      </c>
      <c r="M219" s="8"/>
      <c r="N219" s="8"/>
      <c r="O219" s="8"/>
      <c r="P219" s="7"/>
      <c r="Q219" s="7"/>
      <c r="R219" s="7"/>
      <c r="S219" s="7"/>
      <c r="T219" s="7"/>
      <c r="U219" s="7"/>
      <c r="V219" s="7"/>
      <c r="W219" s="7"/>
      <c r="X219" s="7"/>
      <c r="Y219" s="7"/>
      <c r="Z219" s="7"/>
      <c r="AA219" s="7"/>
      <c r="AB219" s="7"/>
      <c r="AC219" s="7"/>
      <c r="AD219" s="7"/>
      <c r="AE219" s="7"/>
      <c r="AF219" s="7"/>
      <c r="AG219" s="7"/>
      <c r="AH219" s="7"/>
      <c r="AI219" s="7"/>
      <c r="AJ219" s="44"/>
      <c r="AL219" s="89">
        <f t="shared" si="15"/>
        <v>1</v>
      </c>
    </row>
    <row r="220" spans="2:38" ht="15" customHeight="1" x14ac:dyDescent="0.3">
      <c r="B220" s="41"/>
      <c r="C220" s="7"/>
      <c r="D220" s="7"/>
      <c r="E220" s="7"/>
      <c r="F220" s="7"/>
      <c r="G220" s="7"/>
      <c r="H220" s="7"/>
      <c r="I220" s="7"/>
      <c r="J220" s="8" t="s">
        <v>242</v>
      </c>
      <c r="K220" s="8"/>
      <c r="L220" s="7" t="str">
        <f>IF(ISBLANK(AC71),Tables!J12,IF(AC71&gt;5,Tables!J12,""))</f>
        <v>Land slope exceeds the recommended 5% maximum</v>
      </c>
      <c r="M220" s="8"/>
      <c r="N220" s="8"/>
      <c r="O220" s="8"/>
      <c r="P220" s="7"/>
      <c r="Q220" s="7"/>
      <c r="R220" s="7"/>
      <c r="S220" s="7"/>
      <c r="T220" s="7"/>
      <c r="U220" s="7"/>
      <c r="V220" s="7"/>
      <c r="W220" s="7"/>
      <c r="X220" s="7"/>
      <c r="Y220" s="7"/>
      <c r="Z220" s="7"/>
      <c r="AA220" s="7"/>
      <c r="AB220" s="7"/>
      <c r="AC220" s="7"/>
      <c r="AD220" s="7"/>
      <c r="AE220" s="7"/>
      <c r="AF220" s="7"/>
      <c r="AG220" s="7"/>
      <c r="AH220" s="7"/>
      <c r="AI220" s="7"/>
      <c r="AJ220" s="44"/>
      <c r="AL220" s="89">
        <f t="shared" si="15"/>
        <v>1</v>
      </c>
    </row>
    <row r="221" spans="2:38" ht="15" customHeight="1" x14ac:dyDescent="0.3">
      <c r="B221" s="41"/>
      <c r="C221" s="7"/>
      <c r="D221" s="7"/>
      <c r="E221" s="7"/>
      <c r="F221" s="7"/>
      <c r="G221" s="7"/>
      <c r="H221" s="7"/>
      <c r="I221" s="7"/>
      <c r="J221" s="8" t="s">
        <v>243</v>
      </c>
      <c r="K221" s="8"/>
      <c r="L221" s="7" t="str">
        <f>IF(ISBLANK(W100),Tables!J13,IF(W100&gt;96,Tables!J13,""))</f>
        <v>Drain time exceeds the recommended 96 hours</v>
      </c>
      <c r="M221" s="8"/>
      <c r="N221" s="8"/>
      <c r="O221" s="8"/>
      <c r="P221" s="7"/>
      <c r="Q221" s="7"/>
      <c r="R221" s="7"/>
      <c r="S221" s="7"/>
      <c r="T221" s="7"/>
      <c r="U221" s="7"/>
      <c r="V221" s="7"/>
      <c r="W221" s="7"/>
      <c r="X221" s="7"/>
      <c r="Y221" s="7"/>
      <c r="Z221" s="7"/>
      <c r="AA221" s="7"/>
      <c r="AB221" s="7"/>
      <c r="AC221" s="7"/>
      <c r="AD221" s="7"/>
      <c r="AE221" s="7"/>
      <c r="AF221" s="7"/>
      <c r="AG221" s="7"/>
      <c r="AH221" s="7"/>
      <c r="AI221" s="7"/>
      <c r="AJ221" s="44"/>
      <c r="AL221" s="89">
        <f t="shared" si="15"/>
        <v>1</v>
      </c>
    </row>
    <row r="222" spans="2:38" ht="15" customHeight="1" x14ac:dyDescent="0.3">
      <c r="B222" s="41"/>
      <c r="C222" s="7"/>
      <c r="D222" s="7"/>
      <c r="E222" s="7"/>
      <c r="F222" s="7"/>
      <c r="G222" s="7"/>
      <c r="H222" s="7"/>
      <c r="I222" s="7"/>
      <c r="J222" s="8" t="s">
        <v>244</v>
      </c>
      <c r="K222" s="8"/>
      <c r="L222" s="7" t="str">
        <f>IF(ISBLANK(W102),Tables!J14,IF(W102&gt;12,Tables!J14,""))</f>
        <v>Drain time exceeds the recommended 12 hours</v>
      </c>
      <c r="M222" s="8"/>
      <c r="N222" s="8"/>
      <c r="O222" s="8"/>
      <c r="P222" s="7"/>
      <c r="Q222" s="7"/>
      <c r="R222" s="7"/>
      <c r="S222" s="7"/>
      <c r="T222" s="7"/>
      <c r="U222" s="7"/>
      <c r="V222" s="7"/>
      <c r="W222" s="7"/>
      <c r="X222" s="7"/>
      <c r="Y222" s="7"/>
      <c r="Z222" s="7"/>
      <c r="AA222" s="7"/>
      <c r="AB222" s="7"/>
      <c r="AC222" s="7"/>
      <c r="AD222" s="7"/>
      <c r="AE222" s="7"/>
      <c r="AF222" s="7"/>
      <c r="AG222" s="7"/>
      <c r="AH222" s="7"/>
      <c r="AI222" s="7"/>
      <c r="AJ222" s="44"/>
      <c r="AL222" s="89">
        <f t="shared" si="15"/>
        <v>1</v>
      </c>
    </row>
    <row r="223" spans="2:38" ht="15" customHeight="1" x14ac:dyDescent="0.3">
      <c r="B223" s="41"/>
      <c r="C223" s="7"/>
      <c r="D223" s="7"/>
      <c r="E223" s="7"/>
      <c r="F223" s="7"/>
      <c r="G223" s="7"/>
      <c r="H223" s="7"/>
      <c r="I223" s="7"/>
      <c r="J223" s="8" t="s">
        <v>89</v>
      </c>
      <c r="K223" s="8"/>
      <c r="L223" s="7" t="str">
        <f>IF(AO102&gt;1,Tables!J4,IF(AO102=0,"",IF(AM104&lt;6,Tables!J4,"")))</f>
        <v>Emergency Spillway Section not completed</v>
      </c>
      <c r="M223" s="8"/>
      <c r="N223" s="8"/>
      <c r="O223" s="8"/>
      <c r="P223" s="7"/>
      <c r="Q223" s="7"/>
      <c r="R223" s="7"/>
      <c r="S223" s="7"/>
      <c r="T223" s="7"/>
      <c r="U223" s="7"/>
      <c r="V223" s="7"/>
      <c r="W223" s="7"/>
      <c r="X223" s="7"/>
      <c r="Y223" s="7"/>
      <c r="Z223" s="7"/>
      <c r="AA223" s="7"/>
      <c r="AB223" s="7"/>
      <c r="AC223" s="7"/>
      <c r="AD223" s="7"/>
      <c r="AE223" s="7"/>
      <c r="AF223" s="7"/>
      <c r="AG223" s="7"/>
      <c r="AH223" s="7"/>
      <c r="AI223" s="7"/>
      <c r="AJ223" s="44"/>
      <c r="AL223" s="89">
        <f t="shared" si="15"/>
        <v>1</v>
      </c>
    </row>
    <row r="224" spans="2:38" ht="15" customHeight="1" x14ac:dyDescent="0.3">
      <c r="B224" s="41"/>
      <c r="C224" s="7"/>
      <c r="D224" s="7"/>
      <c r="E224" s="7"/>
      <c r="F224" s="7"/>
      <c r="G224" s="7"/>
      <c r="H224" s="7"/>
      <c r="I224" s="7"/>
      <c r="J224" s="8" t="s">
        <v>112</v>
      </c>
      <c r="K224" s="8"/>
      <c r="L224" s="7" t="str">
        <f>IF(AM126&lt;2,Tables!J8,"")</f>
        <v>Latitude and/or Longitude not provided</v>
      </c>
      <c r="M224" s="8"/>
      <c r="N224" s="8"/>
      <c r="O224" s="8"/>
      <c r="P224" s="7"/>
      <c r="Q224" s="7"/>
      <c r="R224" s="7"/>
      <c r="S224" s="7"/>
      <c r="T224" s="7"/>
      <c r="U224" s="7"/>
      <c r="V224" s="7"/>
      <c r="W224" s="7"/>
      <c r="X224" s="7"/>
      <c r="Y224" s="7"/>
      <c r="Z224" s="7"/>
      <c r="AA224" s="7"/>
      <c r="AB224" s="7"/>
      <c r="AC224" s="7"/>
      <c r="AD224" s="7"/>
      <c r="AE224" s="7"/>
      <c r="AF224" s="7"/>
      <c r="AG224" s="7"/>
      <c r="AH224" s="7"/>
      <c r="AI224" s="7"/>
      <c r="AJ224" s="44"/>
      <c r="AL224" s="89"/>
    </row>
    <row r="225" spans="2:38" ht="15" customHeight="1" x14ac:dyDescent="0.3">
      <c r="B225" s="41"/>
      <c r="C225" s="7"/>
      <c r="D225" s="7"/>
      <c r="E225" s="7"/>
      <c r="F225" s="7"/>
      <c r="G225" s="7"/>
      <c r="H225" s="7"/>
      <c r="I225" s="7"/>
      <c r="J225" s="8"/>
      <c r="K225" s="8"/>
      <c r="L225" s="7" t="str">
        <f>IF(AND(AQ126=1,AQ127=1),Tables!$J$17,IF(OR(AQ126=3,AQ127=3),Tables!$J$17,""))</f>
        <v>Latitude and/or Longitude has been entered as text.  Change to a number.</v>
      </c>
      <c r="M225" s="8"/>
      <c r="N225" s="8"/>
      <c r="O225" s="8"/>
      <c r="P225" s="7"/>
      <c r="Q225" s="7"/>
      <c r="R225" s="7"/>
      <c r="S225" s="7"/>
      <c r="T225" s="7"/>
      <c r="U225" s="7"/>
      <c r="V225" s="7"/>
      <c r="W225" s="7"/>
      <c r="X225" s="7"/>
      <c r="Y225" s="7"/>
      <c r="Z225" s="7"/>
      <c r="AA225" s="7"/>
      <c r="AB225" s="7"/>
      <c r="AC225" s="7"/>
      <c r="AD225" s="7"/>
      <c r="AE225" s="7"/>
      <c r="AF225" s="7"/>
      <c r="AG225" s="7"/>
      <c r="AH225" s="7"/>
      <c r="AI225" s="7"/>
      <c r="AJ225" s="44"/>
      <c r="AL225" s="89">
        <f t="shared" si="15"/>
        <v>1</v>
      </c>
    </row>
    <row r="226" spans="2:38" ht="15" customHeight="1" x14ac:dyDescent="0.3">
      <c r="B226" s="41"/>
      <c r="C226" s="7"/>
      <c r="D226" s="7"/>
      <c r="E226" s="7"/>
      <c r="F226" s="7"/>
      <c r="G226" s="7"/>
      <c r="H226" s="7"/>
      <c r="I226" s="7"/>
      <c r="J226" s="8" t="s">
        <v>489</v>
      </c>
      <c r="K226" s="8"/>
      <c r="L226" s="7" t="str">
        <f>IF(AM128&gt;0,Tables!J22,"")</f>
        <v>Outlet protection section not completed</v>
      </c>
      <c r="M226" s="8"/>
      <c r="N226" s="8"/>
      <c r="O226" s="8"/>
      <c r="P226" s="7"/>
      <c r="Q226" s="7"/>
      <c r="R226" s="7"/>
      <c r="S226" s="7"/>
      <c r="T226" s="7"/>
      <c r="U226" s="7"/>
      <c r="V226" s="7"/>
      <c r="W226" s="7"/>
      <c r="X226" s="7"/>
      <c r="Y226" s="7"/>
      <c r="Z226" s="7"/>
      <c r="AA226" s="7"/>
      <c r="AB226" s="7"/>
      <c r="AC226" s="7"/>
      <c r="AD226" s="7"/>
      <c r="AE226" s="7"/>
      <c r="AF226" s="7"/>
      <c r="AG226" s="7"/>
      <c r="AH226" s="7"/>
      <c r="AI226" s="7"/>
      <c r="AJ226" s="44"/>
      <c r="AL226" s="89"/>
    </row>
    <row r="227" spans="2:38" ht="15" customHeight="1" x14ac:dyDescent="0.3">
      <c r="B227" s="41"/>
      <c r="C227" s="7"/>
      <c r="D227" s="7"/>
      <c r="E227" s="7"/>
      <c r="F227" s="7"/>
      <c r="G227" s="7"/>
      <c r="H227" s="7"/>
      <c r="I227" s="7"/>
      <c r="J227" s="8" t="s">
        <v>145</v>
      </c>
      <c r="K227" s="8"/>
      <c r="L227" s="7" t="str">
        <f>IF(AM125=2,Tables!J9,IF(AM124=1,"",Tables!J9))</f>
        <v>WQv Required &gt; WQv Provided</v>
      </c>
      <c r="M227" s="8"/>
      <c r="N227" s="8"/>
      <c r="O227" s="8"/>
      <c r="P227" s="7"/>
      <c r="Q227" s="7"/>
      <c r="R227" s="7"/>
      <c r="S227" s="7"/>
      <c r="T227" s="7"/>
      <c r="U227" s="7"/>
      <c r="V227" s="7"/>
      <c r="W227" s="7"/>
      <c r="X227" s="7"/>
      <c r="Y227" s="7"/>
      <c r="Z227" s="7"/>
      <c r="AA227" s="7"/>
      <c r="AB227" s="7"/>
      <c r="AC227" s="7"/>
      <c r="AD227" s="7"/>
      <c r="AE227" s="7"/>
      <c r="AF227" s="7"/>
      <c r="AG227" s="7"/>
      <c r="AH227" s="7"/>
      <c r="AI227" s="7"/>
      <c r="AJ227" s="44"/>
      <c r="AL227" s="89">
        <f t="shared" si="15"/>
        <v>1</v>
      </c>
    </row>
    <row r="228" spans="2:38" ht="15" customHeight="1" x14ac:dyDescent="0.3">
      <c r="B228" s="41"/>
      <c r="C228" s="7"/>
      <c r="D228" s="79"/>
      <c r="E228" s="7"/>
      <c r="F228" s="7"/>
      <c r="G228" s="7"/>
      <c r="H228" s="7"/>
      <c r="I228" s="7"/>
      <c r="J228" s="92" t="s">
        <v>238</v>
      </c>
      <c r="K228" s="8"/>
      <c r="L228" s="7"/>
      <c r="M228" s="8"/>
      <c r="N228" s="8"/>
      <c r="O228" s="8"/>
      <c r="P228" s="7"/>
      <c r="Q228" s="7"/>
      <c r="R228" s="7"/>
      <c r="S228" s="7"/>
      <c r="T228" s="7"/>
      <c r="U228" s="7"/>
      <c r="V228" s="7"/>
      <c r="W228" s="7"/>
      <c r="X228" s="7"/>
      <c r="Y228" s="7"/>
      <c r="Z228" s="7"/>
      <c r="AA228" s="7"/>
      <c r="AB228" s="7"/>
      <c r="AC228" s="7"/>
      <c r="AD228" s="7"/>
      <c r="AE228" s="7"/>
      <c r="AF228" s="7"/>
      <c r="AG228" s="7"/>
      <c r="AH228" s="7"/>
      <c r="AI228" s="7"/>
      <c r="AJ228" s="44"/>
      <c r="AL228" s="89">
        <f t="shared" si="15"/>
        <v>0</v>
      </c>
    </row>
    <row r="229" spans="2:38" ht="15" customHeight="1" x14ac:dyDescent="0.3">
      <c r="B229" s="41"/>
      <c r="C229" s="7"/>
      <c r="D229" s="7"/>
      <c r="E229" s="7"/>
      <c r="F229" s="7"/>
      <c r="G229" s="7"/>
      <c r="H229" s="7"/>
      <c r="I229" s="7"/>
      <c r="J229" s="8" t="s">
        <v>84</v>
      </c>
      <c r="K229" s="8"/>
      <c r="L229" s="7" t="str">
        <f>IF(AL132=0,"",Tables!J7)</f>
        <v>Max Stage for 2, 5, 10, 25, and/or 50-year storm  &gt; emergency spillway crest elevation</v>
      </c>
      <c r="M229" s="8"/>
      <c r="N229" s="8"/>
      <c r="O229" s="8"/>
      <c r="P229" s="7"/>
      <c r="Q229" s="7"/>
      <c r="R229" s="7"/>
      <c r="S229" s="7"/>
      <c r="T229" s="7"/>
      <c r="U229" s="7"/>
      <c r="V229" s="7"/>
      <c r="W229" s="7"/>
      <c r="X229" s="7"/>
      <c r="Y229" s="7"/>
      <c r="Z229" s="7"/>
      <c r="AA229" s="7"/>
      <c r="AB229" s="7"/>
      <c r="AC229" s="7"/>
      <c r="AD229" s="7"/>
      <c r="AE229" s="7"/>
      <c r="AF229" s="7"/>
      <c r="AG229" s="7"/>
      <c r="AH229" s="7"/>
      <c r="AI229" s="7"/>
      <c r="AJ229" s="44"/>
      <c r="AL229" s="89">
        <f t="shared" si="15"/>
        <v>1</v>
      </c>
    </row>
    <row r="230" spans="2:38" ht="15" customHeight="1" x14ac:dyDescent="0.3">
      <c r="B230" s="41"/>
      <c r="C230" s="7"/>
      <c r="D230" s="7"/>
      <c r="E230" s="7"/>
      <c r="F230" s="7"/>
      <c r="G230" s="7"/>
      <c r="H230" s="7"/>
      <c r="I230" s="7"/>
      <c r="J230" s="8" t="s">
        <v>248</v>
      </c>
      <c r="K230" s="8"/>
      <c r="L230" s="7" t="str">
        <f>IF(AM132&gt;0,Tables!J6,"")</f>
        <v>Velocity &gt; 6 ft/s</v>
      </c>
      <c r="M230" s="8"/>
      <c r="N230" s="8"/>
      <c r="O230" s="8"/>
      <c r="P230" s="7"/>
      <c r="Q230" s="7"/>
      <c r="R230" s="7"/>
      <c r="S230" s="7"/>
      <c r="T230" s="7"/>
      <c r="U230" s="7"/>
      <c r="V230" s="7"/>
      <c r="W230" s="7"/>
      <c r="X230" s="7"/>
      <c r="Y230" s="7"/>
      <c r="Z230" s="7"/>
      <c r="AA230" s="7"/>
      <c r="AB230" s="7"/>
      <c r="AC230" s="7"/>
      <c r="AD230" s="7"/>
      <c r="AE230" s="7"/>
      <c r="AF230" s="7"/>
      <c r="AG230" s="7"/>
      <c r="AH230" s="7"/>
      <c r="AI230" s="7"/>
      <c r="AJ230" s="44"/>
      <c r="AL230" s="89">
        <f t="shared" si="15"/>
        <v>1</v>
      </c>
    </row>
    <row r="231" spans="2:38" ht="15" customHeight="1" x14ac:dyDescent="0.3">
      <c r="B231" s="41"/>
      <c r="C231" s="7"/>
      <c r="D231" s="7"/>
      <c r="E231" s="7"/>
      <c r="F231" s="7"/>
      <c r="G231" s="7"/>
      <c r="H231" s="7"/>
      <c r="I231" s="7"/>
      <c r="J231" s="8" t="s">
        <v>90</v>
      </c>
      <c r="K231" s="8"/>
      <c r="L231" s="7" t="str">
        <f>IF(OR(AN132&gt;0,AO132&gt;0),Tables!J5,"")</f>
        <v>Total Post Q &gt; Pre Q</v>
      </c>
      <c r="M231" s="8"/>
      <c r="N231" s="8"/>
      <c r="O231" s="8"/>
      <c r="P231" s="7"/>
      <c r="Q231" s="7"/>
      <c r="R231" s="7"/>
      <c r="S231" s="7"/>
      <c r="T231" s="7"/>
      <c r="U231" s="7"/>
      <c r="V231" s="7"/>
      <c r="W231" s="7"/>
      <c r="X231" s="7"/>
      <c r="Y231" s="7"/>
      <c r="Z231" s="7"/>
      <c r="AA231" s="7"/>
      <c r="AB231" s="7"/>
      <c r="AC231" s="7"/>
      <c r="AD231" s="7"/>
      <c r="AE231" s="7"/>
      <c r="AF231" s="7"/>
      <c r="AG231" s="7"/>
      <c r="AH231" s="7"/>
      <c r="AI231" s="7"/>
      <c r="AJ231" s="44"/>
      <c r="AL231" s="89">
        <f t="shared" si="15"/>
        <v>1</v>
      </c>
    </row>
    <row r="232" spans="2:38" ht="15" customHeight="1" x14ac:dyDescent="0.3">
      <c r="B232" s="41"/>
      <c r="C232" s="7"/>
      <c r="D232" s="7"/>
      <c r="E232" s="7"/>
      <c r="F232" s="7"/>
      <c r="G232" s="7"/>
      <c r="H232" s="7"/>
      <c r="I232" s="7"/>
      <c r="J232" s="8"/>
      <c r="K232" s="8"/>
      <c r="L232" s="7" t="str">
        <f>IF($AQ$132&gt;0,Tables!$J$15,"")</f>
        <v>Total Post Q is &lt; -0.50 ft3/s of Pre Q</v>
      </c>
      <c r="M232" s="8"/>
      <c r="N232" s="8"/>
      <c r="O232" s="8"/>
      <c r="P232" s="7"/>
      <c r="Q232" s="7"/>
      <c r="R232" s="7"/>
      <c r="S232" s="7"/>
      <c r="T232" s="7"/>
      <c r="U232" s="7"/>
      <c r="V232" s="7"/>
      <c r="W232" s="7"/>
      <c r="X232" s="7"/>
      <c r="Y232" s="7"/>
      <c r="Z232" s="7"/>
      <c r="AA232" s="7"/>
      <c r="AB232" s="7"/>
      <c r="AC232" s="7"/>
      <c r="AD232" s="7"/>
      <c r="AE232" s="7"/>
      <c r="AF232" s="7"/>
      <c r="AG232" s="7"/>
      <c r="AH232" s="7"/>
      <c r="AI232" s="7"/>
      <c r="AJ232" s="44"/>
      <c r="AL232" s="89">
        <f t="shared" si="15"/>
        <v>1</v>
      </c>
    </row>
    <row r="233" spans="2:38" ht="15" customHeight="1" x14ac:dyDescent="0.3">
      <c r="B233" s="41"/>
      <c r="C233" s="7"/>
      <c r="D233" s="7"/>
      <c r="E233" s="7"/>
      <c r="F233" s="7"/>
      <c r="G233" s="7"/>
      <c r="H233" s="7"/>
      <c r="I233" s="7"/>
      <c r="J233" s="8"/>
      <c r="K233" s="8"/>
      <c r="L233" s="7" t="str">
        <f>IF(AO161="Yes",IF(AND(ISBLANK(C161),ISBLANK(F161)),Tables!$J18,IF($AO$132&gt;0,Tables!$J18,"")),"")</f>
        <v/>
      </c>
      <c r="M233" s="8"/>
      <c r="N233" s="8"/>
      <c r="O233" s="8"/>
      <c r="P233" s="7"/>
      <c r="Q233" s="7"/>
      <c r="R233" s="7"/>
      <c r="S233" s="7"/>
      <c r="T233" s="7"/>
      <c r="U233" s="7"/>
      <c r="V233" s="7"/>
      <c r="W233" s="7"/>
      <c r="X233" s="7"/>
      <c r="Y233" s="7"/>
      <c r="Z233" s="7"/>
      <c r="AA233" s="7"/>
      <c r="AB233" s="7"/>
      <c r="AC233" s="7"/>
      <c r="AD233" s="7"/>
      <c r="AE233" s="7"/>
      <c r="AF233" s="7"/>
      <c r="AG233" s="7"/>
      <c r="AH233" s="7"/>
      <c r="AI233" s="7"/>
      <c r="AJ233" s="44"/>
      <c r="AL233" s="89">
        <f t="shared" si="15"/>
        <v>0</v>
      </c>
    </row>
    <row r="234" spans="2:38" ht="15" customHeight="1" x14ac:dyDescent="0.3">
      <c r="B234" s="45"/>
      <c r="C234" s="46"/>
      <c r="D234" s="46"/>
      <c r="E234" s="46"/>
      <c r="F234" s="46"/>
      <c r="G234" s="46"/>
      <c r="H234" s="46"/>
      <c r="I234" s="46"/>
      <c r="J234" s="47"/>
      <c r="K234" s="47"/>
      <c r="L234" s="46" t="str">
        <f>IF(AO163="Yes",IF(AND(ISBLANK(C163),ISBLANK(F163)),Tables!$J19,IF($AP$132&gt;0,Tables!$J19,"")),"")</f>
        <v/>
      </c>
      <c r="M234" s="47"/>
      <c r="N234" s="47"/>
      <c r="O234" s="47"/>
      <c r="P234" s="46"/>
      <c r="Q234" s="46"/>
      <c r="R234" s="46"/>
      <c r="S234" s="46"/>
      <c r="T234" s="46"/>
      <c r="U234" s="46"/>
      <c r="V234" s="46"/>
      <c r="W234" s="46"/>
      <c r="X234" s="46"/>
      <c r="Y234" s="46"/>
      <c r="Z234" s="46"/>
      <c r="AA234" s="46"/>
      <c r="AB234" s="46"/>
      <c r="AC234" s="46"/>
      <c r="AD234" s="46"/>
      <c r="AE234" s="46"/>
      <c r="AF234" s="46"/>
      <c r="AG234" s="46"/>
      <c r="AH234" s="46"/>
      <c r="AI234" s="46"/>
      <c r="AJ234" s="48"/>
      <c r="AL234" s="89">
        <f t="shared" si="15"/>
        <v>0</v>
      </c>
    </row>
    <row r="235" spans="2:38" ht="15" customHeight="1" x14ac:dyDescent="0.3">
      <c r="AK235" s="28"/>
    </row>
    <row r="236" spans="2:38" ht="15" customHeight="1" x14ac:dyDescent="0.3">
      <c r="AK236" s="28"/>
    </row>
    <row r="237" spans="2:38" ht="15" customHeight="1" x14ac:dyDescent="0.3">
      <c r="AK237" s="28"/>
    </row>
    <row r="238" spans="2:38" ht="15" customHeight="1" x14ac:dyDescent="0.3">
      <c r="AK238" s="28"/>
    </row>
    <row r="239" spans="2:38" ht="15" customHeight="1" x14ac:dyDescent="0.3">
      <c r="AK239" s="28"/>
    </row>
    <row r="240" spans="2:38" ht="15" customHeight="1" x14ac:dyDescent="0.3">
      <c r="AK240" s="28"/>
    </row>
    <row r="241" spans="2:37" ht="15" customHeight="1" x14ac:dyDescent="0.3">
      <c r="AK241" s="28"/>
    </row>
    <row r="242" spans="2:37" ht="15" customHeight="1" x14ac:dyDescent="0.3">
      <c r="AK242" s="28"/>
    </row>
    <row r="243" spans="2:37" ht="15" customHeight="1" x14ac:dyDescent="0.3">
      <c r="AK243" s="28"/>
    </row>
    <row r="244" spans="2:37" ht="15" customHeight="1" x14ac:dyDescent="0.3">
      <c r="AK244" s="28"/>
    </row>
    <row r="245" spans="2:37" ht="15" customHeight="1" x14ac:dyDescent="0.3">
      <c r="AK245" s="28"/>
    </row>
    <row r="246" spans="2:37" ht="15" customHeight="1" x14ac:dyDescent="0.3">
      <c r="AK246" s="28"/>
    </row>
    <row r="247" spans="2:37" ht="15" customHeight="1" x14ac:dyDescent="0.3">
      <c r="AK247" s="28"/>
    </row>
    <row r="248" spans="2:37" ht="15" customHeight="1" x14ac:dyDescent="0.3">
      <c r="AK248" s="28"/>
    </row>
    <row r="249" spans="2:37" ht="15" customHeight="1" x14ac:dyDescent="0.3">
      <c r="AK249" s="28"/>
    </row>
    <row r="250" spans="2:37" ht="15" customHeight="1" x14ac:dyDescent="0.3">
      <c r="AK250" s="28"/>
    </row>
    <row r="251" spans="2:37" ht="15" customHeight="1" x14ac:dyDescent="0.3">
      <c r="AK251" s="28"/>
    </row>
    <row r="252" spans="2:37" ht="15" customHeight="1" x14ac:dyDescent="0.3">
      <c r="AK252" s="28"/>
    </row>
    <row r="253" spans="2:37" ht="15" customHeight="1" x14ac:dyDescent="0.3">
      <c r="B253" s="194">
        <f>Tables!$F$13</f>
        <v>45931</v>
      </c>
      <c r="C253" s="194"/>
      <c r="D253" s="194"/>
      <c r="E253" s="194"/>
      <c r="F253" s="194"/>
      <c r="G253" s="194"/>
      <c r="H253" s="194"/>
      <c r="R253" s="195" t="s">
        <v>345</v>
      </c>
      <c r="S253" s="195"/>
      <c r="T253" s="195"/>
      <c r="U253" s="195"/>
      <c r="AK253" s="28"/>
    </row>
    <row r="254" spans="2:37" ht="15" customHeight="1" x14ac:dyDescent="0.3"/>
    <row r="255" spans="2:37" ht="15" customHeight="1" x14ac:dyDescent="0.3"/>
    <row r="256" spans="2:37" ht="15" customHeight="1" x14ac:dyDescent="0.3"/>
  </sheetData>
  <sheetProtection algorithmName="SHA-512" hashValue="B0bFwWs9PP5ryOrvis+9kRthE0jojdhIJgMbZ0y42FjE6Tk3Il4ZMQnOMcu7RVZkU9NB87q6m9WrT7PNQysGnw==" saltValue="GMVLC1yr7YyRNcSACVH7kg==" spinCount="100000" sheet="1" objects="1" scenarios="1" selectLockedCells="1"/>
  <mergeCells count="364">
    <mergeCell ref="D157:Y157"/>
    <mergeCell ref="AE157:AJ157"/>
    <mergeCell ref="AE158:AJ158"/>
    <mergeCell ref="M100:O100"/>
    <mergeCell ref="M102:O102"/>
    <mergeCell ref="W85:Y85"/>
    <mergeCell ref="W86:Y86"/>
    <mergeCell ref="W89:Y89"/>
    <mergeCell ref="W91:Y91"/>
    <mergeCell ref="W93:Y93"/>
    <mergeCell ref="W97:Y97"/>
    <mergeCell ref="W98:Y98"/>
    <mergeCell ref="W100:Y100"/>
    <mergeCell ref="W102:Y102"/>
    <mergeCell ref="M93:O93"/>
    <mergeCell ref="M97:P97"/>
    <mergeCell ref="M98:O98"/>
    <mergeCell ref="M95:O95"/>
    <mergeCell ref="H119:J119"/>
    <mergeCell ref="Y136:AA136"/>
    <mergeCell ref="U137:W137"/>
    <mergeCell ref="U138:W138"/>
    <mergeCell ref="X119:Z119"/>
    <mergeCell ref="X120:Z120"/>
    <mergeCell ref="L39:N39"/>
    <mergeCell ref="T45:V45"/>
    <mergeCell ref="X44:Z44"/>
    <mergeCell ref="P45:R45"/>
    <mergeCell ref="L45:N45"/>
    <mergeCell ref="L43:N43"/>
    <mergeCell ref="AV6:BI7"/>
    <mergeCell ref="AF29:AH29"/>
    <mergeCell ref="AB26:AD26"/>
    <mergeCell ref="T39:V39"/>
    <mergeCell ref="AF33:AH33"/>
    <mergeCell ref="AF34:AH34"/>
    <mergeCell ref="AF31:AH31"/>
    <mergeCell ref="AF32:AH32"/>
    <mergeCell ref="X32:Z32"/>
    <mergeCell ref="X33:Z33"/>
    <mergeCell ref="X34:Z34"/>
    <mergeCell ref="AB30:AD30"/>
    <mergeCell ref="AB32:AD32"/>
    <mergeCell ref="AB31:AD31"/>
    <mergeCell ref="X31:Z31"/>
    <mergeCell ref="AF30:AH30"/>
    <mergeCell ref="AB25:AD25"/>
    <mergeCell ref="AF25:AH25"/>
    <mergeCell ref="AF75:AH75"/>
    <mergeCell ref="T75:W75"/>
    <mergeCell ref="B54:H54"/>
    <mergeCell ref="R54:U54"/>
    <mergeCell ref="S118:U118"/>
    <mergeCell ref="H117:J117"/>
    <mergeCell ref="S117:U117"/>
    <mergeCell ref="M117:P117"/>
    <mergeCell ref="H118:J118"/>
    <mergeCell ref="AE113:AJ113"/>
    <mergeCell ref="AE114:AJ114"/>
    <mergeCell ref="D113:Y113"/>
    <mergeCell ref="AC117:AF117"/>
    <mergeCell ref="AC118:AF118"/>
    <mergeCell ref="AD63:AJ63"/>
    <mergeCell ref="G67:T67"/>
    <mergeCell ref="X118:Z118"/>
    <mergeCell ref="O75:Q75"/>
    <mergeCell ref="H71:J71"/>
    <mergeCell ref="G69:I69"/>
    <mergeCell ref="O79:Q79"/>
    <mergeCell ref="W107:Y107"/>
    <mergeCell ref="M86:O86"/>
    <mergeCell ref="J76:L76"/>
    <mergeCell ref="F199:Z199"/>
    <mergeCell ref="F200:Z200"/>
    <mergeCell ref="D29:E34"/>
    <mergeCell ref="D42:E47"/>
    <mergeCell ref="P29:R29"/>
    <mergeCell ref="F29:G29"/>
    <mergeCell ref="X26:Z26"/>
    <mergeCell ref="I26:J26"/>
    <mergeCell ref="P26:R26"/>
    <mergeCell ref="P41:R41"/>
    <mergeCell ref="T43:V43"/>
    <mergeCell ref="T44:V44"/>
    <mergeCell ref="T46:V46"/>
    <mergeCell ref="T47:V47"/>
    <mergeCell ref="L41:N41"/>
    <mergeCell ref="P39:R39"/>
    <mergeCell ref="X30:Z30"/>
    <mergeCell ref="P32:R32"/>
    <mergeCell ref="T30:V30"/>
    <mergeCell ref="X29:Z29"/>
    <mergeCell ref="T29:V29"/>
    <mergeCell ref="L44:N44"/>
    <mergeCell ref="P44:R44"/>
    <mergeCell ref="Z75:AC75"/>
    <mergeCell ref="B253:H253"/>
    <mergeCell ref="R253:U253"/>
    <mergeCell ref="B209:H209"/>
    <mergeCell ref="R209:U209"/>
    <mergeCell ref="D210:Y210"/>
    <mergeCell ref="AE210:AJ210"/>
    <mergeCell ref="AE211:AJ211"/>
    <mergeCell ref="F201:Z201"/>
    <mergeCell ref="F202:L202"/>
    <mergeCell ref="P202:S202"/>
    <mergeCell ref="X202:Z202"/>
    <mergeCell ref="F203:Z203"/>
    <mergeCell ref="AD206:AH206"/>
    <mergeCell ref="F204:J204"/>
    <mergeCell ref="R130:S130"/>
    <mergeCell ref="AC124:AF124"/>
    <mergeCell ref="Y137:AA137"/>
    <mergeCell ref="Y138:AA138"/>
    <mergeCell ref="L128:T128"/>
    <mergeCell ref="L130:M130"/>
    <mergeCell ref="M119:P119"/>
    <mergeCell ref="S119:U119"/>
    <mergeCell ref="AC119:AF119"/>
    <mergeCell ref="AC120:AF120"/>
    <mergeCell ref="X121:Z121"/>
    <mergeCell ref="AC122:AF122"/>
    <mergeCell ref="S121:U121"/>
    <mergeCell ref="S123:U123"/>
    <mergeCell ref="X122:Z122"/>
    <mergeCell ref="X123:Z123"/>
    <mergeCell ref="AC121:AF121"/>
    <mergeCell ref="S120:U120"/>
    <mergeCell ref="AC123:AF123"/>
    <mergeCell ref="Y135:AA135"/>
    <mergeCell ref="M120:P120"/>
    <mergeCell ref="S124:U124"/>
    <mergeCell ref="G136:H136"/>
    <mergeCell ref="G137:H137"/>
    <mergeCell ref="G138:H138"/>
    <mergeCell ref="M136:O136"/>
    <mergeCell ref="M123:P123"/>
    <mergeCell ref="H123:J123"/>
    <mergeCell ref="M132:O132"/>
    <mergeCell ref="M133:O133"/>
    <mergeCell ref="H121:J121"/>
    <mergeCell ref="H122:J122"/>
    <mergeCell ref="M122:P122"/>
    <mergeCell ref="H124:J124"/>
    <mergeCell ref="F130:G130"/>
    <mergeCell ref="G135:H135"/>
    <mergeCell ref="M121:P121"/>
    <mergeCell ref="M137:O137"/>
    <mergeCell ref="M138:O138"/>
    <mergeCell ref="G133:H133"/>
    <mergeCell ref="G134:H134"/>
    <mergeCell ref="BM1:CC4"/>
    <mergeCell ref="AF102:AH102"/>
    <mergeCell ref="AF93:AH93"/>
    <mergeCell ref="AF98:AH98"/>
    <mergeCell ref="AE56:AJ56"/>
    <mergeCell ref="AE55:AJ55"/>
    <mergeCell ref="AF97:AH97"/>
    <mergeCell ref="AE7:AJ7"/>
    <mergeCell ref="AE8:AJ8"/>
    <mergeCell ref="AF43:AH43"/>
    <mergeCell ref="AF47:AH47"/>
    <mergeCell ref="AF44:AH44"/>
    <mergeCell ref="AF45:AH45"/>
    <mergeCell ref="AF46:AH46"/>
    <mergeCell ref="AF42:AH42"/>
    <mergeCell ref="AF39:AH39"/>
    <mergeCell ref="T1:AK4"/>
    <mergeCell ref="AF26:AH26"/>
    <mergeCell ref="AA15:AD15"/>
    <mergeCell ref="W17:Z17"/>
    <mergeCell ref="W20:Z20"/>
    <mergeCell ref="W21:Z21"/>
    <mergeCell ref="AB28:AD28"/>
    <mergeCell ref="AB29:AD29"/>
    <mergeCell ref="P28:R28"/>
    <mergeCell ref="T26:V26"/>
    <mergeCell ref="L25:N25"/>
    <mergeCell ref="P25:R25"/>
    <mergeCell ref="L28:N28"/>
    <mergeCell ref="P27:R27"/>
    <mergeCell ref="T25:V25"/>
    <mergeCell ref="X25:Z25"/>
    <mergeCell ref="AB27:AD27"/>
    <mergeCell ref="X27:Z27"/>
    <mergeCell ref="X28:Z28"/>
    <mergeCell ref="T27:V27"/>
    <mergeCell ref="E7:X7"/>
    <mergeCell ref="E8:X8"/>
    <mergeCell ref="I39:J39"/>
    <mergeCell ref="P31:R31"/>
    <mergeCell ref="N19:O19"/>
    <mergeCell ref="N20:O20"/>
    <mergeCell ref="N21:O21"/>
    <mergeCell ref="P38:R38"/>
    <mergeCell ref="X39:Z39"/>
    <mergeCell ref="L31:N31"/>
    <mergeCell ref="F30:G30"/>
    <mergeCell ref="F31:G31"/>
    <mergeCell ref="F32:G32"/>
    <mergeCell ref="F33:G33"/>
    <mergeCell ref="F34:G34"/>
    <mergeCell ref="X38:Z38"/>
    <mergeCell ref="J16:M16"/>
    <mergeCell ref="J17:M17"/>
    <mergeCell ref="J18:M18"/>
    <mergeCell ref="J19:M19"/>
    <mergeCell ref="J21:M21"/>
    <mergeCell ref="P33:R33"/>
    <mergeCell ref="P34:R34"/>
    <mergeCell ref="T31:V31"/>
    <mergeCell ref="N16:O16"/>
    <mergeCell ref="N17:O17"/>
    <mergeCell ref="T33:V33"/>
    <mergeCell ref="X43:Z43"/>
    <mergeCell ref="X46:Z46"/>
    <mergeCell ref="X47:Z47"/>
    <mergeCell ref="L46:N46"/>
    <mergeCell ref="T28:V28"/>
    <mergeCell ref="L27:N27"/>
    <mergeCell ref="L26:N26"/>
    <mergeCell ref="T40:V40"/>
    <mergeCell ref="P40:R40"/>
    <mergeCell ref="T38:V38"/>
    <mergeCell ref="P30:R30"/>
    <mergeCell ref="J20:M20"/>
    <mergeCell ref="L30:N30"/>
    <mergeCell ref="L29:N29"/>
    <mergeCell ref="P46:R46"/>
    <mergeCell ref="L47:N47"/>
    <mergeCell ref="P47:R47"/>
    <mergeCell ref="T34:V34"/>
    <mergeCell ref="L42:N42"/>
    <mergeCell ref="L38:N38"/>
    <mergeCell ref="L40:N40"/>
    <mergeCell ref="O76:Q76"/>
    <mergeCell ref="M84:P84"/>
    <mergeCell ref="J80:L80"/>
    <mergeCell ref="O80:Q80"/>
    <mergeCell ref="J77:L77"/>
    <mergeCell ref="O77:Q77"/>
    <mergeCell ref="M85:O85"/>
    <mergeCell ref="M89:O89"/>
    <mergeCell ref="M88:P88"/>
    <mergeCell ref="M91:P91"/>
    <mergeCell ref="W95:Y95"/>
    <mergeCell ref="F44:G44"/>
    <mergeCell ref="F45:G45"/>
    <mergeCell ref="F42:G42"/>
    <mergeCell ref="F43:G43"/>
    <mergeCell ref="J79:L79"/>
    <mergeCell ref="AG138:AI138"/>
    <mergeCell ref="AC132:AE132"/>
    <mergeCell ref="AC133:AE133"/>
    <mergeCell ref="AC134:AE134"/>
    <mergeCell ref="AC135:AE135"/>
    <mergeCell ref="AC136:AE136"/>
    <mergeCell ref="AC137:AE137"/>
    <mergeCell ref="Q133:S133"/>
    <mergeCell ref="Q134:S134"/>
    <mergeCell ref="Q135:S135"/>
    <mergeCell ref="Q136:S136"/>
    <mergeCell ref="AC138:AE138"/>
    <mergeCell ref="X132:AB132"/>
    <mergeCell ref="AG132:AJ132"/>
    <mergeCell ref="AG133:AI133"/>
    <mergeCell ref="AG134:AI134"/>
    <mergeCell ref="AG135:AI135"/>
    <mergeCell ref="AG136:AI136"/>
    <mergeCell ref="Q132:S132"/>
    <mergeCell ref="U132:W132"/>
    <mergeCell ref="U133:W133"/>
    <mergeCell ref="U134:W134"/>
    <mergeCell ref="U135:W135"/>
    <mergeCell ref="Y134:AA134"/>
    <mergeCell ref="N18:O18"/>
    <mergeCell ref="AP151:AQ151"/>
    <mergeCell ref="B141:AJ152"/>
    <mergeCell ref="AF107:AH107"/>
    <mergeCell ref="O126:R126"/>
    <mergeCell ref="W126:Z126"/>
    <mergeCell ref="C117:E117"/>
    <mergeCell ref="X117:Z117"/>
    <mergeCell ref="C123:E123"/>
    <mergeCell ref="C116:E116"/>
    <mergeCell ref="C118:E118"/>
    <mergeCell ref="C119:E119"/>
    <mergeCell ref="C120:E120"/>
    <mergeCell ref="C121:E121"/>
    <mergeCell ref="J78:L78"/>
    <mergeCell ref="O78:Q78"/>
    <mergeCell ref="Y133:AA133"/>
    <mergeCell ref="D55:Y55"/>
    <mergeCell ref="AF79:AH79"/>
    <mergeCell ref="P42:R42"/>
    <mergeCell ref="F46:G46"/>
    <mergeCell ref="F47:G47"/>
    <mergeCell ref="AB46:AD46"/>
    <mergeCell ref="AG137:AI137"/>
    <mergeCell ref="B156:H156"/>
    <mergeCell ref="R156:U156"/>
    <mergeCell ref="F106:I106"/>
    <mergeCell ref="F107:I107"/>
    <mergeCell ref="O106:Q106"/>
    <mergeCell ref="O107:Q107"/>
    <mergeCell ref="B112:H112"/>
    <mergeCell ref="R112:U112"/>
    <mergeCell ref="C122:E122"/>
    <mergeCell ref="H120:J120"/>
    <mergeCell ref="S122:U122"/>
    <mergeCell ref="M118:P118"/>
    <mergeCell ref="U136:W136"/>
    <mergeCell ref="Q137:S137"/>
    <mergeCell ref="Q138:S138"/>
    <mergeCell ref="M134:O134"/>
    <mergeCell ref="M135:O135"/>
    <mergeCell ref="AD6:AJ6"/>
    <mergeCell ref="R82:AH82"/>
    <mergeCell ref="T76:W76"/>
    <mergeCell ref="T77:W77"/>
    <mergeCell ref="T78:W78"/>
    <mergeCell ref="T79:W79"/>
    <mergeCell ref="T80:W80"/>
    <mergeCell ref="Z76:AC76"/>
    <mergeCell ref="Z77:AC77"/>
    <mergeCell ref="Z78:AC78"/>
    <mergeCell ref="Z79:AC79"/>
    <mergeCell ref="Z80:AC80"/>
    <mergeCell ref="AE17:AH17"/>
    <mergeCell ref="AB39:AD39"/>
    <mergeCell ref="AB40:AD40"/>
    <mergeCell ref="AF76:AH76"/>
    <mergeCell ref="AF77:AH77"/>
    <mergeCell ref="AF78:AH78"/>
    <mergeCell ref="AC71:AE71"/>
    <mergeCell ref="AB38:AD38"/>
    <mergeCell ref="AB33:AD33"/>
    <mergeCell ref="AB34:AD34"/>
    <mergeCell ref="T71:V71"/>
    <mergeCell ref="AI17:AJ17"/>
    <mergeCell ref="AL177:AM177"/>
    <mergeCell ref="AF80:AH80"/>
    <mergeCell ref="R73:AH73"/>
    <mergeCell ref="AA14:AD14"/>
    <mergeCell ref="AE14:AF14"/>
    <mergeCell ref="AE15:AF15"/>
    <mergeCell ref="L34:N34"/>
    <mergeCell ref="L33:N33"/>
    <mergeCell ref="L32:N32"/>
    <mergeCell ref="P43:R43"/>
    <mergeCell ref="T41:V41"/>
    <mergeCell ref="T42:V42"/>
    <mergeCell ref="AB47:AD47"/>
    <mergeCell ref="AB43:AD43"/>
    <mergeCell ref="X40:Z40"/>
    <mergeCell ref="X41:Z41"/>
    <mergeCell ref="X42:Z42"/>
    <mergeCell ref="AB42:AD42"/>
    <mergeCell ref="AB44:AD44"/>
    <mergeCell ref="AB45:AD45"/>
    <mergeCell ref="X45:Z45"/>
    <mergeCell ref="AA17:AB17"/>
    <mergeCell ref="AB41:AD41"/>
    <mergeCell ref="T32:V32"/>
  </mergeCells>
  <phoneticPr fontId="24" type="noConversion"/>
  <conditionalFormatting sqref="B141:AJ152">
    <cfRule type="cellIs" priority="1337" stopIfTrue="1" operator="greaterThan">
      <formula>0</formula>
    </cfRule>
    <cfRule type="expression" dxfId="349" priority="1338">
      <formula>$AL$214&gt;1</formula>
    </cfRule>
  </conditionalFormatting>
  <conditionalFormatting sqref="C161 C163">
    <cfRule type="expression" dxfId="348" priority="188">
      <formula>$AM161=2</formula>
    </cfRule>
  </conditionalFormatting>
  <conditionalFormatting sqref="C183 F183">
    <cfRule type="expression" dxfId="347" priority="184">
      <formula>$AL183=1</formula>
    </cfRule>
  </conditionalFormatting>
  <conditionalFormatting sqref="C183">
    <cfRule type="expression" dxfId="346" priority="186">
      <formula>$AM183=2</formula>
    </cfRule>
  </conditionalFormatting>
  <conditionalFormatting sqref="C117:E117">
    <cfRule type="expression" dxfId="345" priority="221">
      <formula>ISBLANK($C$117)</formula>
    </cfRule>
  </conditionalFormatting>
  <conditionalFormatting sqref="D55 AE55:AE56 D113 AE113:AE114 H124 K124">
    <cfRule type="cellIs" dxfId="344" priority="509" operator="equal">
      <formula>0</formula>
    </cfRule>
  </conditionalFormatting>
  <conditionalFormatting sqref="D61 K61 R61 AA61 AA63">
    <cfRule type="expression" dxfId="343" priority="57">
      <formula>$AL$61=1</formula>
    </cfRule>
  </conditionalFormatting>
  <conditionalFormatting sqref="D63">
    <cfRule type="expression" dxfId="342" priority="27">
      <formula>$AL$61=1</formula>
    </cfRule>
  </conditionalFormatting>
  <conditionalFormatting sqref="D65 K65 R65 AA65 D67">
    <cfRule type="expression" dxfId="341" priority="54">
      <formula>$AL$65=1</formula>
    </cfRule>
  </conditionalFormatting>
  <conditionalFormatting sqref="D157 AE157:AE158">
    <cfRule type="cellIs" dxfId="340" priority="224" operator="equal">
      <formula>0</formula>
    </cfRule>
  </conditionalFormatting>
  <conditionalFormatting sqref="D210 AE210:AE211">
    <cfRule type="cellIs" dxfId="339" priority="25" operator="equal">
      <formula>0</formula>
    </cfRule>
  </conditionalFormatting>
  <conditionalFormatting sqref="E7:E8 AE7:AE8 AF29:AF34 AF42:AF47 AC124 Q133:Q138">
    <cfRule type="expression" dxfId="338" priority="528">
      <formula>ISBLANK(E7)</formula>
    </cfRule>
  </conditionalFormatting>
  <conditionalFormatting sqref="F10 M10 T10">
    <cfRule type="expression" dxfId="337" priority="503">
      <formula>ISBLANK(F10)</formula>
    </cfRule>
  </conditionalFormatting>
  <conditionalFormatting sqref="F12 M12">
    <cfRule type="expression" dxfId="336" priority="384">
      <formula>ISBLANK(F12)</formula>
    </cfRule>
  </conditionalFormatting>
  <conditionalFormatting sqref="F179 C179">
    <cfRule type="expression" dxfId="335" priority="24">
      <formula>$AL179=1</formula>
    </cfRule>
  </conditionalFormatting>
  <conditionalFormatting sqref="F179">
    <cfRule type="expression" dxfId="334" priority="23">
      <formula>$AQ$179&gt;0</formula>
    </cfRule>
  </conditionalFormatting>
  <conditionalFormatting sqref="F181 C161 F161 C163 F163 C181">
    <cfRule type="expression" dxfId="333" priority="187">
      <formula>$AL161=1</formula>
    </cfRule>
  </conditionalFormatting>
  <conditionalFormatting sqref="F181">
    <cfRule type="expression" dxfId="332" priority="121">
      <formula>$AM$181=2</formula>
    </cfRule>
  </conditionalFormatting>
  <conditionalFormatting sqref="F199:F200">
    <cfRule type="expression" dxfId="331" priority="211">
      <formula>ISBLANK(F199)</formula>
    </cfRule>
  </conditionalFormatting>
  <conditionalFormatting sqref="F202:F204">
    <cfRule type="expression" dxfId="330" priority="206">
      <formula>ISBLANK(F202)</formula>
    </cfRule>
  </conditionalFormatting>
  <conditionalFormatting sqref="F106:I107 O106:Q107 W107:Y107 AF107:AH107">
    <cfRule type="expression" dxfId="329" priority="1246">
      <formula>$AO$100=2</formula>
    </cfRule>
    <cfRule type="cellIs" priority="306" stopIfTrue="1" operator="greaterThan">
      <formula>0</formula>
    </cfRule>
  </conditionalFormatting>
  <conditionalFormatting sqref="F201:Z201">
    <cfRule type="expression" dxfId="328" priority="209">
      <formula>ISBLANK(F201)</formula>
    </cfRule>
  </conditionalFormatting>
  <conditionalFormatting sqref="G14 J14">
    <cfRule type="expression" dxfId="327" priority="93">
      <formula>$AL$14=1</formula>
    </cfRule>
  </conditionalFormatting>
  <conditionalFormatting sqref="G67">
    <cfRule type="expression" dxfId="326" priority="53">
      <formula>$AL$67=2</formula>
    </cfRule>
    <cfRule type="cellIs" priority="52" stopIfTrue="1" operator="greaterThan">
      <formula>0</formula>
    </cfRule>
  </conditionalFormatting>
  <conditionalFormatting sqref="G69:I69">
    <cfRule type="expression" dxfId="325" priority="378">
      <formula>ISBLANK(G69)</formula>
    </cfRule>
  </conditionalFormatting>
  <conditionalFormatting sqref="H117 M117">
    <cfRule type="expression" dxfId="324" priority="457">
      <formula>$AL$117=2</formula>
    </cfRule>
  </conditionalFormatting>
  <conditionalFormatting sqref="H117:H123 M117:M123">
    <cfRule type="cellIs" priority="395" stopIfTrue="1" operator="greaterThan">
      <formula>0</formula>
    </cfRule>
  </conditionalFormatting>
  <conditionalFormatting sqref="H71:J71 T71:V71 AC71:AE71">
    <cfRule type="expression" dxfId="323" priority="273">
      <formula>ISBLANK(H71)</formula>
    </cfRule>
  </conditionalFormatting>
  <conditionalFormatting sqref="H71:J71">
    <cfRule type="cellIs" dxfId="322" priority="225" operator="greaterThan">
      <formula>5</formula>
    </cfRule>
  </conditionalFormatting>
  <conditionalFormatting sqref="H117:J117">
    <cfRule type="expression" priority="220" stopIfTrue="1">
      <formula>$AN$117=2</formula>
    </cfRule>
  </conditionalFormatting>
  <conditionalFormatting sqref="I26">
    <cfRule type="expression" dxfId="321" priority="39">
      <formula>$AM$16=3</formula>
    </cfRule>
  </conditionalFormatting>
  <conditionalFormatting sqref="I39">
    <cfRule type="expression" dxfId="320" priority="35">
      <formula>$AM$16=3</formula>
    </cfRule>
  </conditionalFormatting>
  <conditionalFormatting sqref="I59 L59 O59 R59">
    <cfRule type="expression" priority="1238" stopIfTrue="1">
      <formula>$AL$59=2</formula>
    </cfRule>
    <cfRule type="expression" dxfId="319" priority="1239">
      <formula>$AL$59=1</formula>
    </cfRule>
  </conditionalFormatting>
  <conditionalFormatting sqref="I167 L167">
    <cfRule type="expression" dxfId="318" priority="10">
      <formula>$AL167=1</formula>
    </cfRule>
  </conditionalFormatting>
  <conditionalFormatting sqref="I167">
    <cfRule type="expression" dxfId="317" priority="9">
      <formula>$AM167=2</formula>
    </cfRule>
  </conditionalFormatting>
  <conditionalFormatting sqref="I173 L173">
    <cfRule type="expression" dxfId="316" priority="6">
      <formula>$AL173=1</formula>
    </cfRule>
  </conditionalFormatting>
  <conditionalFormatting sqref="I185 L185">
    <cfRule type="expression" dxfId="315" priority="185">
      <formula>$AM183=2</formula>
    </cfRule>
  </conditionalFormatting>
  <conditionalFormatting sqref="I26:J26">
    <cfRule type="expression" dxfId="314" priority="38">
      <formula>$AL$14=1</formula>
    </cfRule>
  </conditionalFormatting>
  <conditionalFormatting sqref="I39:J39">
    <cfRule type="expression" dxfId="313" priority="34">
      <formula>$AL$14=1</formula>
    </cfRule>
  </conditionalFormatting>
  <conditionalFormatting sqref="J16:J20">
    <cfRule type="expression" dxfId="312" priority="98">
      <formula>ISBLANK(J16)</formula>
    </cfRule>
  </conditionalFormatting>
  <conditionalFormatting sqref="J73 M73">
    <cfRule type="cellIs" priority="276" stopIfTrue="1" operator="greaterThan">
      <formula>0</formula>
    </cfRule>
    <cfRule type="expression" dxfId="311" priority="277">
      <formula>$AL$73=1</formula>
    </cfRule>
  </conditionalFormatting>
  <conditionalFormatting sqref="J82 M82">
    <cfRule type="cellIs" priority="42" stopIfTrue="1" operator="greaterThan">
      <formula>0</formula>
    </cfRule>
    <cfRule type="expression" dxfId="310" priority="43">
      <formula>$AL$82=1</formula>
    </cfRule>
  </conditionalFormatting>
  <conditionalFormatting sqref="J76:L80 O76:Q80 T76:T80 Z76:Z80 AF76:AH80">
    <cfRule type="cellIs" priority="270" stopIfTrue="1" operator="greaterThan">
      <formula>0</formula>
    </cfRule>
    <cfRule type="expression" dxfId="309" priority="271">
      <formula>ISBLANK(J76)</formula>
    </cfRule>
  </conditionalFormatting>
  <conditionalFormatting sqref="J16:M21 P26:R26 T26:V26 X26:Z26 AB26:AD26 AF26:AH26 P39:R39 T39:V39 X39:Z39 AB39:AD39 AF39:AH39">
    <cfRule type="expression" dxfId="308" priority="85">
      <formula>$AM$16=1</formula>
    </cfRule>
    <cfRule type="expression" dxfId="307" priority="84">
      <formula>$AM$16=2</formula>
    </cfRule>
  </conditionalFormatting>
  <conditionalFormatting sqref="J21:M21">
    <cfRule type="cellIs" dxfId="306" priority="86" operator="equal">
      <formula>0</formula>
    </cfRule>
  </conditionalFormatting>
  <conditionalFormatting sqref="K104 N104">
    <cfRule type="expression" dxfId="305" priority="309">
      <formula>$AO$104=1</formula>
    </cfRule>
    <cfRule type="cellIs" priority="308" stopIfTrue="1" operator="greaterThan">
      <formula>0</formula>
    </cfRule>
  </conditionalFormatting>
  <conditionalFormatting sqref="K118 H118 M118">
    <cfRule type="expression" dxfId="304" priority="455">
      <formula>$AL$118=2</formula>
    </cfRule>
  </conditionalFormatting>
  <conditionalFormatting sqref="K118:K123">
    <cfRule type="cellIs" priority="438" stopIfTrue="1" operator="greaterThan">
      <formula>0</formula>
    </cfRule>
  </conditionalFormatting>
  <conditionalFormatting sqref="K119 H119 M119">
    <cfRule type="expression" dxfId="303" priority="453">
      <formula>$AL$119=2</formula>
    </cfRule>
  </conditionalFormatting>
  <conditionalFormatting sqref="K120 H120 M120">
    <cfRule type="expression" dxfId="302" priority="451">
      <formula>$AL$120=2</formula>
    </cfRule>
  </conditionalFormatting>
  <conditionalFormatting sqref="K121 H121 M121">
    <cfRule type="expression" dxfId="301" priority="449">
      <formula>$AL$121=2</formula>
    </cfRule>
  </conditionalFormatting>
  <conditionalFormatting sqref="K122 H122 M122">
    <cfRule type="expression" dxfId="300" priority="447">
      <formula>$AL$122=2</formula>
    </cfRule>
  </conditionalFormatting>
  <conditionalFormatting sqref="K123 H123 M123">
    <cfRule type="expression" dxfId="299" priority="445">
      <formula>$AL$123=2</formula>
    </cfRule>
  </conditionalFormatting>
  <conditionalFormatting sqref="L26:L34">
    <cfRule type="cellIs" dxfId="298" priority="413" stopIfTrue="1" operator="greaterThan">
      <formula>0</formula>
    </cfRule>
    <cfRule type="expression" dxfId="297" priority="502">
      <formula>$L$24=2</formula>
    </cfRule>
  </conditionalFormatting>
  <conditionalFormatting sqref="L39:L47">
    <cfRule type="cellIs" dxfId="296" priority="491" operator="greaterThan">
      <formula>0</formula>
    </cfRule>
    <cfRule type="expression" dxfId="295" priority="492">
      <formula>$L$37=2</formula>
    </cfRule>
  </conditionalFormatting>
  <conditionalFormatting sqref="L165 I165">
    <cfRule type="expression" dxfId="294" priority="16">
      <formula>$AL165=1</formula>
    </cfRule>
  </conditionalFormatting>
  <conditionalFormatting sqref="L165">
    <cfRule type="expression" dxfId="293" priority="15">
      <formula>$AM165=2</formula>
    </cfRule>
  </conditionalFormatting>
  <conditionalFormatting sqref="L185 I185">
    <cfRule type="expression" priority="183" stopIfTrue="1">
      <formula>$AN$185=3</formula>
    </cfRule>
  </conditionalFormatting>
  <conditionalFormatting sqref="L185">
    <cfRule type="expression" dxfId="292" priority="182" stopIfTrue="1">
      <formula>$AM$185=2</formula>
    </cfRule>
  </conditionalFormatting>
  <conditionalFormatting sqref="L25:N25">
    <cfRule type="expression" dxfId="291" priority="223">
      <formula>ISBLANK($L$25)</formula>
    </cfRule>
  </conditionalFormatting>
  <conditionalFormatting sqref="L26:N26">
    <cfRule type="expression" dxfId="290" priority="37">
      <formula>$AM$16=1</formula>
    </cfRule>
    <cfRule type="expression" dxfId="289" priority="36">
      <formula>$AM$16=2</formula>
    </cfRule>
  </conditionalFormatting>
  <conditionalFormatting sqref="L38:N38">
    <cfRule type="expression" dxfId="288" priority="222">
      <formula>ISBLANK($L$38)</formula>
    </cfRule>
  </conditionalFormatting>
  <conditionalFormatting sqref="L39:N39">
    <cfRule type="expression" dxfId="287" priority="32">
      <formula>$AM$16=2</formula>
    </cfRule>
    <cfRule type="expression" dxfId="286" priority="33">
      <formula>$AM$16=1</formula>
    </cfRule>
  </conditionalFormatting>
  <conditionalFormatting sqref="L128:T128 F130:G130 L130:M130 R130:S130">
    <cfRule type="expression" dxfId="285" priority="17">
      <formula>ISBLANK(F128)</formula>
    </cfRule>
  </conditionalFormatting>
  <conditionalFormatting sqref="M93:O93">
    <cfRule type="cellIs" priority="253" stopIfTrue="1" operator="greaterThan">
      <formula>0</formula>
    </cfRule>
    <cfRule type="expression" priority="254" stopIfTrue="1">
      <formula>$AM$93=2</formula>
    </cfRule>
    <cfRule type="expression" dxfId="284" priority="255">
      <formula>ISBLANK(M93)</formula>
    </cfRule>
  </conditionalFormatting>
  <conditionalFormatting sqref="M95:O95 W95:Y95">
    <cfRule type="cellIs" priority="236" stopIfTrue="1" operator="notEqual">
      <formula>0</formula>
    </cfRule>
    <cfRule type="expression" dxfId="283" priority="237">
      <formula>ISBLANK(M95)</formula>
    </cfRule>
  </conditionalFormatting>
  <conditionalFormatting sqref="M98:O98">
    <cfRule type="cellIs" priority="243" stopIfTrue="1" operator="greaterThan">
      <formula>0</formula>
    </cfRule>
    <cfRule type="expression" dxfId="282" priority="245">
      <formula>ISBLANK(M98)</formula>
    </cfRule>
    <cfRule type="expression" priority="244" stopIfTrue="1">
      <formula>$AM$98=2</formula>
    </cfRule>
  </conditionalFormatting>
  <conditionalFormatting sqref="M100:O100 W100:Y100 M102:O102 W102:Y102 AF102:AH102">
    <cfRule type="expression" dxfId="281" priority="239">
      <formula>ISBLANK(M100)</formula>
    </cfRule>
  </conditionalFormatting>
  <conditionalFormatting sqref="M133:O138">
    <cfRule type="cellIs" dxfId="280" priority="218" operator="equal">
      <formula>0</formula>
    </cfRule>
  </conditionalFormatting>
  <conditionalFormatting sqref="M84:P84 M85:O86 W85:Y86">
    <cfRule type="expression" priority="266" stopIfTrue="1">
      <formula>$AM$84=2</formula>
    </cfRule>
    <cfRule type="cellIs" priority="264" stopIfTrue="1" operator="greaterThan">
      <formula>0</formula>
    </cfRule>
    <cfRule type="expression" dxfId="279" priority="1240">
      <formula>ISBLANK(M84)</formula>
    </cfRule>
  </conditionalFormatting>
  <conditionalFormatting sqref="M88:P88 M89:O89 W89:Y89">
    <cfRule type="expression" priority="259" stopIfTrue="1">
      <formula>$AM$88=2</formula>
    </cfRule>
    <cfRule type="expression" dxfId="278" priority="260">
      <formula>ISBLANK(M88)</formula>
    </cfRule>
    <cfRule type="cellIs" priority="258" stopIfTrue="1" operator="greaterThan">
      <formula>0</formula>
    </cfRule>
  </conditionalFormatting>
  <conditionalFormatting sqref="M91:P91 W91:Y91 M93:O93 W93:Y93 AF93:AH93 M95:O95 W95:Y95 AE95 AH95">
    <cfRule type="expression" priority="230" stopIfTrue="1">
      <formula>$AL$91=2</formula>
    </cfRule>
  </conditionalFormatting>
  <conditionalFormatting sqref="M91:P91 W91:Y91">
    <cfRule type="expression" dxfId="277" priority="249">
      <formula>ISBLANK(M91)</formula>
    </cfRule>
    <cfRule type="cellIs" priority="248" stopIfTrue="1" operator="greaterThan">
      <formula>0</formula>
    </cfRule>
  </conditionalFormatting>
  <conditionalFormatting sqref="M97:P97">
    <cfRule type="cellIs" priority="246" stopIfTrue="1" operator="greaterThan">
      <formula>0</formula>
    </cfRule>
    <cfRule type="expression" dxfId="276" priority="247">
      <formula>ISBLANK(M97)</formula>
    </cfRule>
  </conditionalFormatting>
  <conditionalFormatting sqref="M117:P117">
    <cfRule type="expression" priority="219" stopIfTrue="1">
      <formula>$AO$117=2</formula>
    </cfRule>
  </conditionalFormatting>
  <conditionalFormatting sqref="N16:N21">
    <cfRule type="expression" dxfId="275" priority="92">
      <formula>$AM$16=3</formula>
    </cfRule>
  </conditionalFormatting>
  <conditionalFormatting sqref="N16:O21">
    <cfRule type="expression" dxfId="274" priority="91">
      <formula>$AL$14=1</formula>
    </cfRule>
  </conditionalFormatting>
  <conditionalFormatting sqref="O169 R169">
    <cfRule type="expression" dxfId="273" priority="14">
      <formula>$AM167=2</formula>
    </cfRule>
  </conditionalFormatting>
  <conditionalFormatting sqref="O171 R171">
    <cfRule type="expression" dxfId="272" priority="12">
      <formula>$AM167=2</formula>
    </cfRule>
  </conditionalFormatting>
  <conditionalFormatting sqref="O175 R175">
    <cfRule type="expression" dxfId="271" priority="5">
      <formula>$AM173=2</formula>
    </cfRule>
  </conditionalFormatting>
  <conditionalFormatting sqref="O126:R126 W126:Z126">
    <cfRule type="cellIs" dxfId="270" priority="31" operator="equal">
      <formula>0</formula>
    </cfRule>
  </conditionalFormatting>
  <conditionalFormatting sqref="O126:R126">
    <cfRule type="expression" dxfId="269" priority="30">
      <formula>$AQ$126=3</formula>
    </cfRule>
  </conditionalFormatting>
  <conditionalFormatting sqref="P39:P47">
    <cfRule type="expression" dxfId="268" priority="1151">
      <formula>$P$37=2</formula>
    </cfRule>
    <cfRule type="cellIs" dxfId="267" priority="1150" operator="greaterThan">
      <formula>0</formula>
    </cfRule>
  </conditionalFormatting>
  <conditionalFormatting sqref="P202">
    <cfRule type="expression" dxfId="266" priority="207">
      <formula>ISBLANK(P202)</formula>
    </cfRule>
  </conditionalFormatting>
  <conditionalFormatting sqref="P25:R34">
    <cfRule type="cellIs" priority="398" stopIfTrue="1" operator="greaterThan">
      <formula>0</formula>
    </cfRule>
    <cfRule type="expression" dxfId="265" priority="399">
      <formula>$P$24=2</formula>
    </cfRule>
  </conditionalFormatting>
  <conditionalFormatting sqref="R63">
    <cfRule type="expression" dxfId="264" priority="26">
      <formula>$AL$61=1</formula>
    </cfRule>
  </conditionalFormatting>
  <conditionalFormatting sqref="R73">
    <cfRule type="expression" dxfId="263" priority="275">
      <formula>$AM$73=2</formula>
    </cfRule>
    <cfRule type="cellIs" priority="274" stopIfTrue="1" operator="greaterThan">
      <formula>0</formula>
    </cfRule>
  </conditionalFormatting>
  <conditionalFormatting sqref="R82">
    <cfRule type="cellIs" priority="40" stopIfTrue="1" operator="greaterThan">
      <formula>0</formula>
    </cfRule>
    <cfRule type="expression" dxfId="262" priority="41">
      <formula>$AM$82=2</formula>
    </cfRule>
  </conditionalFormatting>
  <conditionalFormatting sqref="R169 O169">
    <cfRule type="expression" priority="13" stopIfTrue="1">
      <formula>$AL169=2</formula>
    </cfRule>
  </conditionalFormatting>
  <conditionalFormatting sqref="R169">
    <cfRule type="expression" dxfId="261" priority="8" stopIfTrue="1">
      <formula>$AM169=2</formula>
    </cfRule>
  </conditionalFormatting>
  <conditionalFormatting sqref="R171 O171">
    <cfRule type="expression" priority="11" stopIfTrue="1">
      <formula>$AL171=2</formula>
    </cfRule>
  </conditionalFormatting>
  <conditionalFormatting sqref="R171">
    <cfRule type="expression" dxfId="260" priority="7" stopIfTrue="1">
      <formula>$AM171=2</formula>
    </cfRule>
  </conditionalFormatting>
  <conditionalFormatting sqref="R175 O175">
    <cfRule type="expression" priority="4" stopIfTrue="1">
      <formula>$AL175=2</formula>
    </cfRule>
  </conditionalFormatting>
  <conditionalFormatting sqref="R175">
    <cfRule type="expression" dxfId="259" priority="3" stopIfTrue="1">
      <formula>$AM175=2</formula>
    </cfRule>
  </conditionalFormatting>
  <conditionalFormatting sqref="R177">
    <cfRule type="cellIs" priority="1" stopIfTrue="1" operator="greaterThan">
      <formula>0</formula>
    </cfRule>
    <cfRule type="expression" dxfId="258" priority="2">
      <formula>$AM173=2</formula>
    </cfRule>
  </conditionalFormatting>
  <conditionalFormatting sqref="S27:S34">
    <cfRule type="expression" dxfId="257" priority="499">
      <formula>$R$24=2</formula>
    </cfRule>
    <cfRule type="cellIs" dxfId="256" priority="409" operator="greaterThan">
      <formula>0</formula>
    </cfRule>
  </conditionalFormatting>
  <conditionalFormatting sqref="S124">
    <cfRule type="cellIs" dxfId="255" priority="1224" operator="lessThan">
      <formula>$H124</formula>
    </cfRule>
    <cfRule type="expression" dxfId="254" priority="1223">
      <formula>ISBLANK(S124)</formula>
    </cfRule>
  </conditionalFormatting>
  <conditionalFormatting sqref="T26:T34">
    <cfRule type="expression" dxfId="253" priority="1217">
      <formula>$T$24=2</formula>
    </cfRule>
    <cfRule type="cellIs" dxfId="252" priority="1216" operator="greaterThan">
      <formula>0</formula>
    </cfRule>
  </conditionalFormatting>
  <conditionalFormatting sqref="T39:T47">
    <cfRule type="cellIs" dxfId="251" priority="1194" operator="greaterThan">
      <formula>0</formula>
    </cfRule>
    <cfRule type="expression" dxfId="250" priority="1195">
      <formula>$T$37=2</formula>
    </cfRule>
  </conditionalFormatting>
  <conditionalFormatting sqref="U133:U138 Y133:Y138 AC133:AC138">
    <cfRule type="expression" dxfId="249" priority="125" stopIfTrue="1">
      <formula>ISBLANK(U133)</formula>
    </cfRule>
  </conditionalFormatting>
  <conditionalFormatting sqref="W93:Y93 AF93">
    <cfRule type="cellIs" priority="250" stopIfTrue="1" operator="greaterThan">
      <formula>0</formula>
    </cfRule>
    <cfRule type="expression" priority="251" stopIfTrue="1">
      <formula>$AL$93=2</formula>
    </cfRule>
    <cfRule type="expression" dxfId="248" priority="252">
      <formula>ISBLANK(W93)</formula>
    </cfRule>
  </conditionalFormatting>
  <conditionalFormatting sqref="W97:Y98 AF98:AH98">
    <cfRule type="expression" dxfId="247" priority="242">
      <formula>ISBLANK(W97)</formula>
    </cfRule>
    <cfRule type="cellIs" priority="240" stopIfTrue="1" operator="greaterThan">
      <formula>0</formula>
    </cfRule>
  </conditionalFormatting>
  <conditionalFormatting sqref="W98:Y98 AF98:AH98">
    <cfRule type="expression" priority="241" stopIfTrue="1">
      <formula>$AL$98=2</formula>
    </cfRule>
  </conditionalFormatting>
  <conditionalFormatting sqref="W100:Y100">
    <cfRule type="cellIs" dxfId="246" priority="228" stopIfTrue="1" operator="greaterThan">
      <formula>96</formula>
    </cfRule>
  </conditionalFormatting>
  <conditionalFormatting sqref="W102:Y102 W100:Y100 M100:O100 M102:O102 AF102:AH102">
    <cfRule type="cellIs" priority="238" stopIfTrue="1" operator="greaterThan">
      <formula>0</formula>
    </cfRule>
  </conditionalFormatting>
  <conditionalFormatting sqref="W102:Y102">
    <cfRule type="cellIs" dxfId="245" priority="229" stopIfTrue="1" operator="greaterThan">
      <formula>12</formula>
    </cfRule>
  </conditionalFormatting>
  <conditionalFormatting sqref="W17:Z17">
    <cfRule type="cellIs" dxfId="244" priority="97" operator="equal">
      <formula>0</formula>
    </cfRule>
    <cfRule type="expression" priority="96" stopIfTrue="1">
      <formula>$AL$17=1</formula>
    </cfRule>
    <cfRule type="expression" dxfId="243" priority="83">
      <formula>$AM$16=1</formula>
    </cfRule>
    <cfRule type="expression" dxfId="242" priority="82">
      <formula>$AM$16=2</formula>
    </cfRule>
  </conditionalFormatting>
  <conditionalFormatting sqref="W20:Z21">
    <cfRule type="expression" priority="94" stopIfTrue="1">
      <formula>$AL$17=1</formula>
    </cfRule>
    <cfRule type="cellIs" dxfId="241" priority="95" operator="equal">
      <formula>0</formula>
    </cfRule>
  </conditionalFormatting>
  <conditionalFormatting sqref="W126:Z126">
    <cfRule type="expression" dxfId="240" priority="29">
      <formula>$AQ$127=3</formula>
    </cfRule>
  </conditionalFormatting>
  <conditionalFormatting sqref="X26:X34">
    <cfRule type="expression" dxfId="239" priority="1219">
      <formula>$X$24=2</formula>
    </cfRule>
    <cfRule type="cellIs" dxfId="238" priority="1218" operator="greaterThan">
      <formula>0</formula>
    </cfRule>
  </conditionalFormatting>
  <conditionalFormatting sqref="X39:X47">
    <cfRule type="expression" dxfId="237" priority="1205">
      <formula>$X$37=2</formula>
    </cfRule>
    <cfRule type="cellIs" dxfId="236" priority="1204" operator="greaterThan">
      <formula>0</formula>
    </cfRule>
  </conditionalFormatting>
  <conditionalFormatting sqref="X117 AC117">
    <cfRule type="expression" dxfId="235" priority="437">
      <formula>$AM$117=2</formula>
    </cfRule>
  </conditionalFormatting>
  <conditionalFormatting sqref="X117:X118 AC117:AC118">
    <cfRule type="cellIs" priority="434" stopIfTrue="1" operator="greaterThan">
      <formula>0</formula>
    </cfRule>
  </conditionalFormatting>
  <conditionalFormatting sqref="X118 AC118">
    <cfRule type="expression" dxfId="234" priority="435">
      <formula>$AM$118=2</formula>
    </cfRule>
  </conditionalFormatting>
  <conditionalFormatting sqref="X119 AC119">
    <cfRule type="expression" dxfId="233" priority="433">
      <formula>$AM$119=2</formula>
    </cfRule>
    <cfRule type="cellIs" priority="432" stopIfTrue="1" operator="greaterThan">
      <formula>1</formula>
    </cfRule>
  </conditionalFormatting>
  <conditionalFormatting sqref="X120 AC120">
    <cfRule type="expression" dxfId="232" priority="431">
      <formula>$AM$120=2</formula>
    </cfRule>
  </conditionalFormatting>
  <conditionalFormatting sqref="X120:X123 AC120:AC123">
    <cfRule type="cellIs" priority="420" stopIfTrue="1" operator="greaterThan">
      <formula>0</formula>
    </cfRule>
  </conditionalFormatting>
  <conditionalFormatting sqref="X121 AC121">
    <cfRule type="expression" dxfId="231" priority="429">
      <formula>$AM$121=2</formula>
    </cfRule>
  </conditionalFormatting>
  <conditionalFormatting sqref="X122 AC122">
    <cfRule type="expression" dxfId="230" priority="427">
      <formula>$AM$122=2</formula>
    </cfRule>
  </conditionalFormatting>
  <conditionalFormatting sqref="X123 AC123">
    <cfRule type="expression" dxfId="229" priority="425">
      <formula>$AM$123=2</formula>
    </cfRule>
  </conditionalFormatting>
  <conditionalFormatting sqref="X202">
    <cfRule type="expression" dxfId="228" priority="208">
      <formula>ISBLANK(X202)</formula>
    </cfRule>
  </conditionalFormatting>
  <conditionalFormatting sqref="Y23 AB23 AE23 AH23">
    <cfRule type="expression" priority="204" stopIfTrue="1">
      <formula>$AL23=2</formula>
    </cfRule>
    <cfRule type="expression" dxfId="227" priority="205">
      <formula>$AL23=1</formula>
    </cfRule>
  </conditionalFormatting>
  <conditionalFormatting sqref="Y137:AA137">
    <cfRule type="expression" dxfId="226" priority="127">
      <formula>$AL$137&lt;1</formula>
    </cfRule>
  </conditionalFormatting>
  <conditionalFormatting sqref="Y137:AA138">
    <cfRule type="expression" priority="126" stopIfTrue="1">
      <formula>$AM$140=1</formula>
    </cfRule>
  </conditionalFormatting>
  <conditionalFormatting sqref="Y138:AA138">
    <cfRule type="expression" dxfId="225" priority="227">
      <formula>$AL$138&lt;1</formula>
    </cfRule>
  </conditionalFormatting>
  <conditionalFormatting sqref="AA14:AA15">
    <cfRule type="expression" dxfId="224" priority="99">
      <formula>ISBLANK(AA14)</formula>
    </cfRule>
  </conditionalFormatting>
  <conditionalFormatting sqref="AA17">
    <cfRule type="expression" dxfId="223" priority="90">
      <formula>$AM$16=3</formula>
    </cfRule>
  </conditionalFormatting>
  <conditionalFormatting sqref="AA69 AD69">
    <cfRule type="expression" priority="376" stopIfTrue="1">
      <formula>$AL$69=2</formula>
    </cfRule>
    <cfRule type="expression" dxfId="222" priority="377">
      <formula>$AL$69=1</formula>
    </cfRule>
  </conditionalFormatting>
  <conditionalFormatting sqref="AA17:AB17">
    <cfRule type="expression" dxfId="221" priority="89">
      <formula>$AL$14=1</formula>
    </cfRule>
  </conditionalFormatting>
  <conditionalFormatting sqref="AA14:AD15">
    <cfRule type="expression" dxfId="220" priority="80">
      <formula>$AM$16=2</formula>
    </cfRule>
    <cfRule type="expression" dxfId="219" priority="81">
      <formula>$AM$16=1</formula>
    </cfRule>
  </conditionalFormatting>
  <conditionalFormatting sqref="AB26:AB34">
    <cfRule type="expression" dxfId="218" priority="494">
      <formula>$AB$24=2</formula>
    </cfRule>
    <cfRule type="cellIs" dxfId="217" priority="493" operator="greaterThan">
      <formula>0</formula>
    </cfRule>
  </conditionalFormatting>
  <conditionalFormatting sqref="AB39:AB47">
    <cfRule type="expression" dxfId="216" priority="1215">
      <formula>$AB$37=2</formula>
    </cfRule>
    <cfRule type="cellIs" dxfId="215" priority="1214" operator="greaterThan">
      <formula>0</formula>
    </cfRule>
  </conditionalFormatting>
  <conditionalFormatting sqref="AC10">
    <cfRule type="expression" dxfId="214" priority="22">
      <formula>ISBLANK(AC10)</formula>
    </cfRule>
  </conditionalFormatting>
  <conditionalFormatting sqref="AC84">
    <cfRule type="cellIs" priority="1241" stopIfTrue="1" operator="greaterThan">
      <formula>0</formula>
    </cfRule>
    <cfRule type="expression" priority="1242" stopIfTrue="1">
      <formula>$AL$84=2</formula>
    </cfRule>
    <cfRule type="expression" dxfId="213" priority="1243">
      <formula>ISBLANK(AC84)</formula>
    </cfRule>
  </conditionalFormatting>
  <conditionalFormatting sqref="AC88">
    <cfRule type="expression" dxfId="212" priority="263">
      <formula>ISBLANK(AC88)</formula>
    </cfRule>
    <cfRule type="cellIs" priority="261" stopIfTrue="1" operator="greaterThan">
      <formula>0</formula>
    </cfRule>
    <cfRule type="expression" priority="262" stopIfTrue="1">
      <formula>$AL$88=2</formula>
    </cfRule>
  </conditionalFormatting>
  <conditionalFormatting sqref="AC91">
    <cfRule type="expression" dxfId="211" priority="233">
      <formula>ISBLANK(AC91)</formula>
    </cfRule>
    <cfRule type="expression" priority="232" stopIfTrue="1">
      <formula>$AL$88=2</formula>
    </cfRule>
    <cfRule type="cellIs" priority="231" stopIfTrue="1" operator="greaterThan">
      <formula>0</formula>
    </cfRule>
  </conditionalFormatting>
  <conditionalFormatting sqref="AC71:AE71 H71:J71 T71:V71">
    <cfRule type="cellIs" priority="272" stopIfTrue="1" operator="greaterThan">
      <formula>0</formula>
    </cfRule>
  </conditionalFormatting>
  <conditionalFormatting sqref="AC71:AE71">
    <cfRule type="cellIs" dxfId="210" priority="226" operator="greaterThan">
      <formula>5</formula>
    </cfRule>
  </conditionalFormatting>
  <conditionalFormatting sqref="AD63">
    <cfRule type="cellIs" priority="55" stopIfTrue="1" operator="greaterThan">
      <formula>0</formula>
    </cfRule>
    <cfRule type="expression" dxfId="209" priority="56">
      <formula>$AL$63=2</formula>
    </cfRule>
  </conditionalFormatting>
  <conditionalFormatting sqref="AD206">
    <cfRule type="expression" dxfId="208" priority="210">
      <formula>ISBLANK(AD206)</formula>
    </cfRule>
  </conditionalFormatting>
  <conditionalFormatting sqref="AD6:AJ6">
    <cfRule type="cellIs" dxfId="207" priority="28" operator="equal">
      <formula>0</formula>
    </cfRule>
  </conditionalFormatting>
  <conditionalFormatting sqref="AE14:AE15">
    <cfRule type="expression" dxfId="206" priority="88">
      <formula>$AM$16=3</formula>
    </cfRule>
  </conditionalFormatting>
  <conditionalFormatting sqref="AE95 AH95">
    <cfRule type="cellIs" priority="1244" operator="greaterThan">
      <formula>0</formula>
    </cfRule>
    <cfRule type="expression" dxfId="205" priority="1245">
      <formula>$AL$95=1</formula>
    </cfRule>
  </conditionalFormatting>
  <conditionalFormatting sqref="AE104 AH104">
    <cfRule type="expression" dxfId="204" priority="416">
      <formula>$AL$104=1</formula>
    </cfRule>
  </conditionalFormatting>
  <conditionalFormatting sqref="AE14:AF15">
    <cfRule type="expression" dxfId="203" priority="87">
      <formula>$AL$14=1</formula>
    </cfRule>
  </conditionalFormatting>
  <conditionalFormatting sqref="AE17:AH17">
    <cfRule type="cellIs" dxfId="202" priority="79" operator="equal">
      <formula>0</formula>
    </cfRule>
    <cfRule type="expression" priority="78" stopIfTrue="1">
      <formula>$AL$17=1</formula>
    </cfRule>
  </conditionalFormatting>
  <conditionalFormatting sqref="AF128">
    <cfRule type="expression" dxfId="201" priority="20">
      <formula>$AO128=1</formula>
    </cfRule>
  </conditionalFormatting>
  <conditionalFormatting sqref="AF30:AH34">
    <cfRule type="cellIs" dxfId="200" priority="213" operator="equal">
      <formula>0</formula>
    </cfRule>
  </conditionalFormatting>
  <conditionalFormatting sqref="AF43:AH47">
    <cfRule type="cellIs" dxfId="199" priority="212" operator="equal">
      <formula>0</formula>
    </cfRule>
  </conditionalFormatting>
  <conditionalFormatting sqref="AF97:AH97">
    <cfRule type="cellIs" priority="234" stopIfTrue="1" operator="notEqual">
      <formula>0</formula>
    </cfRule>
    <cfRule type="expression" dxfId="198" priority="235">
      <formula>ISBLANK(AF97)</formula>
    </cfRule>
  </conditionalFormatting>
  <conditionalFormatting sqref="AG133:AG138">
    <cfRule type="expression" dxfId="197" priority="120">
      <formula>ISBLANK(AG133)</formula>
    </cfRule>
  </conditionalFormatting>
  <conditionalFormatting sqref="AG133:AI138">
    <cfRule type="expression" dxfId="196" priority="129" stopIfTrue="1">
      <formula>$AN133=1</formula>
    </cfRule>
    <cfRule type="expression" dxfId="195" priority="130">
      <formula>$AO133=1</formula>
    </cfRule>
    <cfRule type="expression" dxfId="194" priority="1225">
      <formula>$AP133=1</formula>
    </cfRule>
  </conditionalFormatting>
  <conditionalFormatting sqref="AI128 AF130 AI130">
    <cfRule type="expression" dxfId="193" priority="18">
      <formula>$AO128=1</formula>
    </cfRule>
  </conditionalFormatting>
  <conditionalFormatting sqref="AI128">
    <cfRule type="expression" dxfId="192" priority="21">
      <formula>$AP128=2</formula>
    </cfRule>
  </conditionalFormatting>
  <conditionalFormatting sqref="AI130">
    <cfRule type="expression" dxfId="191" priority="19">
      <formula>$AP130=2</formula>
    </cfRule>
  </conditionalFormatting>
  <dataValidations count="2">
    <dataValidation type="list" allowBlank="1" showInputMessage="1" showErrorMessage="1" sqref="M84:P84 M88:P88 M91:P91 M97:P97 F106:I106" xr:uid="{BBFC1B51-BAC7-408F-9A20-8A2F604EEA48}">
      <formula1>Material</formula1>
    </dataValidation>
    <dataValidation type="list" allowBlank="1" showInputMessage="1" showErrorMessage="1" sqref="W91:Y91 W97:Y97 O106:Q106" xr:uid="{1EB110C4-B9A9-486B-998B-DDE0473B8F46}">
      <formula1>Shape</formula1>
    </dataValidation>
  </dataValidations>
  <pageMargins left="0.2" right="0.2" top="0.5" bottom="0.25" header="0.3" footer="0.3"/>
  <pageSetup orientation="portrait" r:id="rId1"/>
  <rowBreaks count="4" manualBreakCount="4">
    <brk id="54" max="16383" man="1"/>
    <brk id="112" max="16383" man="1"/>
    <brk id="156" max="16383" man="1"/>
    <brk id="209" max="16383" man="1"/>
  </rowBreaks>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6882A8A1-F30F-482D-9CAD-3857881F815B}">
          <x14:formula1>
            <xm:f>Tables!$D$2:$D$10</xm:f>
          </x14:formula1>
          <xm:sqref>F106 M97 M91</xm:sqref>
        </x14:dataValidation>
        <x14:dataValidation type="list" allowBlank="1" showInputMessage="1" showErrorMessage="1" xr:uid="{7D770B13-86DC-4C38-9E5A-31FA57EE1A79}">
          <x14:formula1>
            <xm:f>Tables!$H$9:$H$14</xm:f>
          </x14:formula1>
          <xm:sqref>L128:T128</xm:sqref>
        </x14:dataValidation>
        <x14:dataValidation type="custom" allowBlank="1" showInputMessage="1" showErrorMessage="1" errorTitle="Workbook Locked" error="On the Instructions Tab, accept the conditions to use this form._x000a__x000a_                     OR_x000a__x000a_This form has expired.  Please obtain the latest version of this form." xr:uid="{49952DC7-1027-4C95-8D12-92CD0CD21164}">
          <x14:formula1>
            <xm:f>Tables!$B$8</xm:f>
          </x14:formula1>
          <xm:sqref>AD6:AJ6 AE7:AJ8 E7:X8 F10 F12 M10 M12 T10 AC10 AA14:AD15 G14 J14 J16:M20 Y23 AB23 AE23 AH23 L25:N34 P25:R34 T25:V34 X25:Z34 AB25:AD34 AF26:AH26 AF29:AH34 L38:N47 P38:R47 T38:V47 X38:Z47 AB38:AD47 AF39:AH39 AF42:AH47 I59 L59 O59 R59 D61 D63 D65 D67 K65 K61 R61 R63 R65 AA61 AA64:AA65 AD63:AJ63 G67:T67 G69:I69 AA69 AD69 AC71:AE71 T71:V71 H71:J71 J73 M73 R73:AH73 J76:L80 O76:Q80 T76:W80 Z76:AC80 AF76:AH80 J82 M82 R82:AH82 AC84 M85:O86 W85:Y86 AC88 AC91 AF93:AH93 AE95 AH95 AF97:AH98 AF102:AH102 AE104 AH104 W102:Y102 W100:Y100 W98:Y98 W95:Y95 W93:Y93 W89:Y89 M89:O89 M93:O93 M95:O95 M98:O98 M100:O100 M102:O102 K104 N104 F107:I107 O107:Q107 W107:Y107 AF107:AH107 C117:E123 H117:J123 M117:P123 X117:Z123 AC117:AF124 S117:U124 W126:Z126 O126:R126 AF128 AF130 AI128 AI130 R130:S130 L130:M130 F130:G130 M133:O138 Q133:S138 U133:W138 Y133:AA138 AC133:AE138 AG133:AI138 B141:AJ152 C161 C163 F163 F161 I165 I167 L167 L165 O169 O171 R171 R169 C179 C181 C183 I185 L185 F183 F181 F179 F199:Z201 F202:L202 P202:S202 X202:Z202 F203:Z203 F204:J204 AD206:AH206 I173 L173 O175 R175</xm:sqref>
        </x14:dataValidation>
        <x14:dataValidation type="list" allowBlank="1" showInputMessage="1" showErrorMessage="1" xr:uid="{4992E79B-B5C4-4360-BA46-EC6129C0AA2A}">
          <x14:formula1>
            <xm:f>Tables!$K$27:$K$30</xm:f>
          </x14:formula1>
          <xm:sqref>R177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D7E9D-8F53-4B28-B0A2-9364562AF2BF}">
  <sheetPr codeName="Sheet2">
    <tabColor theme="7" tint="0.39997558519241921"/>
  </sheetPr>
  <dimension ref="A1:CN112"/>
  <sheetViews>
    <sheetView showGridLines="0" showRowColHeaders="0" showZeros="0" zoomScale="150" zoomScaleNormal="150" workbookViewId="0">
      <selection activeCell="F10" sqref="F10"/>
    </sheetView>
  </sheetViews>
  <sheetFormatPr defaultColWidth="0" defaultRowHeight="0" customHeight="1" zeroHeight="1" x14ac:dyDescent="0.3"/>
  <cols>
    <col min="1" max="1" width="1.77734375" style="26" customWidth="1"/>
    <col min="2" max="36" width="2.77734375" style="26" customWidth="1"/>
    <col min="37" max="37" width="1.77734375" style="26" customWidth="1"/>
    <col min="38" max="38" width="2.77734375" style="26" customWidth="1"/>
    <col min="39" max="43" width="5.77734375" style="20" hidden="1" customWidth="1"/>
    <col min="44" max="79" width="2.77734375" style="26" customWidth="1"/>
    <col min="80" max="92" width="2.77734375" style="26" hidden="1" customWidth="1"/>
    <col min="93" max="16384" width="8.88671875" style="26" hidden="1"/>
  </cols>
  <sheetData>
    <row r="1" spans="2:88" ht="15" customHeight="1" x14ac:dyDescent="0.3">
      <c r="G1" s="3"/>
      <c r="H1" s="3"/>
      <c r="I1" s="3"/>
      <c r="J1" s="3"/>
      <c r="K1" s="3"/>
      <c r="L1" s="3"/>
      <c r="M1" s="3"/>
      <c r="N1" s="215" t="s">
        <v>419</v>
      </c>
      <c r="O1" s="215"/>
      <c r="P1" s="215"/>
      <c r="Q1" s="215"/>
      <c r="R1" s="215"/>
      <c r="S1" s="215"/>
      <c r="T1" s="215"/>
      <c r="U1" s="215"/>
      <c r="V1" s="215"/>
      <c r="W1" s="215"/>
      <c r="X1" s="215"/>
      <c r="Y1" s="215"/>
      <c r="Z1" s="215"/>
      <c r="AA1" s="215"/>
      <c r="AB1" s="215"/>
      <c r="AC1" s="215"/>
      <c r="AD1" s="215"/>
      <c r="AE1" s="215"/>
      <c r="AF1" s="215"/>
      <c r="AG1" s="215"/>
      <c r="AH1" s="215"/>
      <c r="AI1" s="215"/>
      <c r="AJ1" s="215"/>
      <c r="AK1" s="215"/>
      <c r="BD1" s="215" t="str">
        <f>N1</f>
        <v>Form 2F.2 - Permeable Pavement
Design Form Attachment</v>
      </c>
      <c r="BE1" s="215"/>
      <c r="BF1" s="215"/>
      <c r="BG1" s="215"/>
      <c r="BH1" s="215"/>
      <c r="BI1" s="215"/>
      <c r="BJ1" s="215"/>
      <c r="BK1" s="215"/>
      <c r="BL1" s="215"/>
      <c r="BM1" s="215"/>
      <c r="BN1" s="215"/>
      <c r="BO1" s="215"/>
      <c r="BP1" s="215"/>
      <c r="BQ1" s="215"/>
      <c r="BR1" s="215"/>
      <c r="BS1" s="215"/>
      <c r="BT1" s="215"/>
      <c r="BU1" s="215"/>
      <c r="BV1" s="215"/>
      <c r="BW1" s="215"/>
      <c r="BX1" s="215"/>
      <c r="BY1" s="215"/>
      <c r="BZ1" s="215"/>
    </row>
    <row r="2" spans="2:88" ht="15" customHeight="1" x14ac:dyDescent="0.3">
      <c r="E2" s="3"/>
      <c r="F2" s="3"/>
      <c r="G2" s="3"/>
      <c r="H2" s="3"/>
      <c r="I2" s="3"/>
      <c r="J2" s="3"/>
      <c r="K2" s="3"/>
      <c r="L2" s="3"/>
      <c r="M2" s="3"/>
      <c r="N2" s="215"/>
      <c r="O2" s="215"/>
      <c r="P2" s="215"/>
      <c r="Q2" s="215"/>
      <c r="R2" s="215"/>
      <c r="S2" s="215"/>
      <c r="T2" s="215"/>
      <c r="U2" s="215"/>
      <c r="V2" s="215"/>
      <c r="W2" s="215"/>
      <c r="X2" s="215"/>
      <c r="Y2" s="215"/>
      <c r="Z2" s="215"/>
      <c r="AA2" s="215"/>
      <c r="AB2" s="215"/>
      <c r="AC2" s="215"/>
      <c r="AD2" s="215"/>
      <c r="AE2" s="215"/>
      <c r="AF2" s="215"/>
      <c r="AG2" s="215"/>
      <c r="AH2" s="215"/>
      <c r="AI2" s="215"/>
      <c r="AJ2" s="215"/>
      <c r="AK2" s="215"/>
      <c r="BD2" s="215"/>
      <c r="BE2" s="215"/>
      <c r="BF2" s="215"/>
      <c r="BG2" s="215"/>
      <c r="BH2" s="215"/>
      <c r="BI2" s="215"/>
      <c r="BJ2" s="215"/>
      <c r="BK2" s="215"/>
      <c r="BL2" s="215"/>
      <c r="BM2" s="215"/>
      <c r="BN2" s="215"/>
      <c r="BO2" s="215"/>
      <c r="BP2" s="215"/>
      <c r="BQ2" s="215"/>
      <c r="BR2" s="215"/>
      <c r="BS2" s="215"/>
      <c r="BT2" s="215"/>
      <c r="BU2" s="215"/>
      <c r="BV2" s="215"/>
      <c r="BW2" s="215"/>
      <c r="BX2" s="215"/>
      <c r="BY2" s="215"/>
      <c r="BZ2" s="215"/>
    </row>
    <row r="3" spans="2:88" ht="15" customHeight="1" x14ac:dyDescent="0.3">
      <c r="E3" s="3"/>
      <c r="F3" s="3"/>
      <c r="G3" s="3"/>
      <c r="H3" s="3"/>
      <c r="I3" s="3"/>
      <c r="J3" s="3"/>
      <c r="K3" s="3"/>
      <c r="L3" s="3"/>
      <c r="M3" s="3"/>
      <c r="N3" s="215"/>
      <c r="O3" s="215"/>
      <c r="P3" s="215"/>
      <c r="Q3" s="215"/>
      <c r="R3" s="215"/>
      <c r="S3" s="215"/>
      <c r="T3" s="215"/>
      <c r="U3" s="215"/>
      <c r="V3" s="215"/>
      <c r="W3" s="215"/>
      <c r="X3" s="215"/>
      <c r="Y3" s="215"/>
      <c r="Z3" s="215"/>
      <c r="AA3" s="215"/>
      <c r="AB3" s="215"/>
      <c r="AC3" s="215"/>
      <c r="AD3" s="215"/>
      <c r="AE3" s="215"/>
      <c r="AF3" s="215"/>
      <c r="AG3" s="215"/>
      <c r="AH3" s="215"/>
      <c r="AI3" s="215"/>
      <c r="AJ3" s="215"/>
      <c r="AK3" s="215"/>
      <c r="BD3" s="215"/>
      <c r="BE3" s="215"/>
      <c r="BF3" s="215"/>
      <c r="BG3" s="215"/>
      <c r="BH3" s="215"/>
      <c r="BI3" s="215"/>
      <c r="BJ3" s="215"/>
      <c r="BK3" s="215"/>
      <c r="BL3" s="215"/>
      <c r="BM3" s="215"/>
      <c r="BN3" s="215"/>
      <c r="BO3" s="215"/>
      <c r="BP3" s="215"/>
      <c r="BQ3" s="215"/>
      <c r="BR3" s="215"/>
      <c r="BS3" s="215"/>
      <c r="BT3" s="215"/>
      <c r="BU3" s="215"/>
      <c r="BV3" s="215"/>
      <c r="BW3" s="215"/>
      <c r="BX3" s="215"/>
      <c r="BY3" s="215"/>
      <c r="BZ3" s="215"/>
    </row>
    <row r="4" spans="2:88" ht="15" customHeight="1" x14ac:dyDescent="0.3">
      <c r="E4" s="3"/>
      <c r="F4" s="3"/>
      <c r="G4" s="3"/>
      <c r="H4" s="3"/>
      <c r="I4" s="3"/>
      <c r="J4" s="3"/>
      <c r="K4" s="3"/>
      <c r="L4" s="3"/>
      <c r="M4" s="3"/>
      <c r="N4" s="215"/>
      <c r="O4" s="215"/>
      <c r="P4" s="215"/>
      <c r="Q4" s="215"/>
      <c r="R4" s="215"/>
      <c r="S4" s="215"/>
      <c r="T4" s="215"/>
      <c r="U4" s="215"/>
      <c r="V4" s="215"/>
      <c r="W4" s="215"/>
      <c r="X4" s="215"/>
      <c r="Y4" s="215"/>
      <c r="Z4" s="215"/>
      <c r="AA4" s="215"/>
      <c r="AB4" s="215"/>
      <c r="AC4" s="215"/>
      <c r="AD4" s="215"/>
      <c r="AE4" s="215"/>
      <c r="AF4" s="215"/>
      <c r="AG4" s="215"/>
      <c r="AH4" s="215"/>
      <c r="AI4" s="215"/>
      <c r="AJ4" s="215"/>
      <c r="AK4" s="215"/>
      <c r="BD4" s="215"/>
      <c r="BE4" s="215"/>
      <c r="BF4" s="215"/>
      <c r="BG4" s="215"/>
      <c r="BH4" s="215"/>
      <c r="BI4" s="215"/>
      <c r="BJ4" s="215"/>
      <c r="BK4" s="215"/>
      <c r="BL4" s="215"/>
      <c r="BM4" s="215"/>
      <c r="BN4" s="215"/>
      <c r="BO4" s="215"/>
      <c r="BP4" s="215"/>
      <c r="BQ4" s="215"/>
      <c r="BR4" s="215"/>
      <c r="BS4" s="215"/>
      <c r="BT4" s="215"/>
      <c r="BU4" s="215"/>
      <c r="BV4" s="215"/>
      <c r="BW4" s="215"/>
      <c r="BX4" s="215"/>
      <c r="BY4" s="215"/>
      <c r="BZ4" s="215"/>
    </row>
    <row r="5" spans="2:88" ht="4.95" customHeight="1" x14ac:dyDescent="0.3">
      <c r="E5" s="3"/>
      <c r="F5" s="3"/>
      <c r="G5" s="3"/>
      <c r="H5" s="3"/>
      <c r="I5" s="3"/>
      <c r="J5" s="3"/>
      <c r="K5" s="3"/>
      <c r="L5" s="3"/>
      <c r="M5" s="3"/>
      <c r="N5" s="3"/>
      <c r="O5" s="3"/>
      <c r="P5" s="3"/>
      <c r="Q5" s="3"/>
      <c r="R5" s="3"/>
      <c r="S5" s="3"/>
      <c r="T5" s="3"/>
      <c r="U5" s="3"/>
      <c r="V5" s="3"/>
      <c r="W5" s="3"/>
      <c r="X5" s="3"/>
      <c r="Y5" s="3"/>
      <c r="Z5" s="3"/>
      <c r="AA5" s="3"/>
      <c r="AB5" s="23"/>
      <c r="AC5" s="23"/>
      <c r="AD5" s="23"/>
      <c r="AE5" s="23"/>
      <c r="AF5" s="23"/>
      <c r="AG5" s="23"/>
      <c r="AH5" s="23"/>
      <c r="AI5" s="23"/>
      <c r="AJ5" s="23"/>
    </row>
    <row r="6" spans="2:88" ht="15" customHeight="1" x14ac:dyDescent="0.3">
      <c r="B6" s="1" t="s">
        <v>167</v>
      </c>
      <c r="C6" s="1"/>
      <c r="D6" s="1"/>
      <c r="AU6" s="21"/>
      <c r="CJ6" s="101"/>
    </row>
    <row r="7" spans="2:88" ht="15" customHeight="1" x14ac:dyDescent="0.3">
      <c r="D7" s="2" t="s">
        <v>132</v>
      </c>
      <c r="E7" s="229">
        <f>'Form 2F.1 - Design'!E7</f>
        <v>0</v>
      </c>
      <c r="F7" s="229"/>
      <c r="G7" s="229"/>
      <c r="H7" s="229"/>
      <c r="I7" s="229"/>
      <c r="J7" s="229"/>
      <c r="K7" s="229"/>
      <c r="L7" s="229"/>
      <c r="M7" s="229"/>
      <c r="N7" s="229"/>
      <c r="O7" s="229"/>
      <c r="P7" s="229"/>
      <c r="Q7" s="229"/>
      <c r="R7" s="229"/>
      <c r="S7" s="229"/>
      <c r="T7" s="229"/>
      <c r="U7" s="229"/>
      <c r="V7" s="229"/>
      <c r="W7" s="229"/>
      <c r="X7" s="229"/>
      <c r="Y7" s="229"/>
      <c r="AD7" s="2" t="s">
        <v>168</v>
      </c>
      <c r="AE7" s="230">
        <f>'Form 2F.1 - Design'!AE7</f>
        <v>0</v>
      </c>
      <c r="AF7" s="230"/>
      <c r="AG7" s="230"/>
      <c r="AH7" s="230"/>
      <c r="AI7" s="230"/>
      <c r="AJ7" s="230"/>
      <c r="AR7" s="226" t="s">
        <v>68</v>
      </c>
      <c r="AS7" s="226"/>
      <c r="AT7" s="226"/>
      <c r="AU7" s="226"/>
      <c r="AV7" s="226"/>
      <c r="AW7" s="226"/>
      <c r="AX7" s="226"/>
      <c r="AY7" s="226"/>
      <c r="AZ7" s="226"/>
      <c r="BA7" s="226"/>
      <c r="BB7" s="226"/>
      <c r="BC7" s="226"/>
      <c r="BD7" s="226"/>
      <c r="BE7" s="226"/>
      <c r="BF7" s="226"/>
      <c r="BG7" s="21"/>
      <c r="BH7" s="21"/>
      <c r="BI7" s="21"/>
      <c r="BJ7" s="21"/>
      <c r="BK7" s="21"/>
      <c r="BL7" s="21"/>
      <c r="BM7" s="21"/>
      <c r="BN7" s="21"/>
      <c r="BO7" s="21"/>
      <c r="BP7" s="21"/>
      <c r="BQ7" s="21"/>
      <c r="BR7" s="21"/>
      <c r="BS7" s="21"/>
      <c r="BT7" s="21"/>
      <c r="BU7" s="24"/>
      <c r="BV7" s="24"/>
      <c r="BW7" s="24"/>
      <c r="BX7" s="24"/>
      <c r="BY7" s="24"/>
      <c r="BZ7" s="24"/>
      <c r="CA7" s="24"/>
      <c r="CB7" s="24"/>
      <c r="CC7" s="24"/>
      <c r="CD7" s="24"/>
      <c r="CE7" s="24"/>
      <c r="CF7" s="24"/>
      <c r="CG7" s="24"/>
      <c r="CH7" s="24"/>
      <c r="CI7" s="24"/>
      <c r="CJ7" s="102"/>
    </row>
    <row r="8" spans="2:88" ht="15" customHeight="1" x14ac:dyDescent="0.3">
      <c r="D8" s="2" t="s">
        <v>133</v>
      </c>
      <c r="E8" s="231">
        <f>'Form 2F.1 - Design'!E8</f>
        <v>0</v>
      </c>
      <c r="F8" s="231"/>
      <c r="G8" s="231"/>
      <c r="H8" s="231"/>
      <c r="I8" s="231"/>
      <c r="J8" s="231"/>
      <c r="K8" s="231"/>
      <c r="L8" s="231"/>
      <c r="M8" s="231"/>
      <c r="N8" s="231"/>
      <c r="O8" s="231"/>
      <c r="P8" s="231"/>
      <c r="Q8" s="231"/>
      <c r="R8" s="231"/>
      <c r="S8" s="231"/>
      <c r="T8" s="231"/>
      <c r="U8" s="231"/>
      <c r="V8" s="231"/>
      <c r="W8" s="231"/>
      <c r="X8" s="231"/>
      <c r="Y8" s="231"/>
      <c r="AB8" s="2"/>
      <c r="AE8" s="61"/>
      <c r="AF8" s="61"/>
      <c r="AG8" s="61"/>
      <c r="AH8" s="61"/>
      <c r="AI8" s="61"/>
      <c r="AJ8" s="61"/>
      <c r="AR8" s="226"/>
      <c r="AS8" s="226"/>
      <c r="AT8" s="226"/>
      <c r="AU8" s="226"/>
      <c r="AV8" s="226"/>
      <c r="AW8" s="226"/>
      <c r="AX8" s="226"/>
      <c r="AY8" s="226"/>
      <c r="AZ8" s="226"/>
      <c r="BA8" s="226"/>
      <c r="BB8" s="226"/>
      <c r="BC8" s="226"/>
      <c r="BD8" s="226"/>
      <c r="BE8" s="226"/>
      <c r="BF8" s="226"/>
      <c r="BG8" s="84"/>
      <c r="BH8" s="84"/>
      <c r="BI8" s="84"/>
      <c r="BJ8" s="84"/>
      <c r="BK8" s="84"/>
      <c r="BL8" s="84"/>
      <c r="BM8" s="84"/>
      <c r="BN8" s="84"/>
      <c r="BO8" s="84"/>
      <c r="BP8" s="84"/>
      <c r="BQ8" s="84"/>
      <c r="BR8" s="84"/>
      <c r="BS8" s="84"/>
      <c r="BT8" s="84"/>
      <c r="BU8" s="101"/>
      <c r="BV8" s="101"/>
      <c r="BW8" s="101"/>
      <c r="BX8" s="101"/>
      <c r="BY8" s="101"/>
      <c r="BZ8" s="101"/>
      <c r="CA8" s="101"/>
      <c r="CB8" s="101"/>
      <c r="CC8" s="101"/>
      <c r="CD8" s="101"/>
      <c r="CE8" s="101"/>
      <c r="CF8" s="101"/>
      <c r="CG8" s="101"/>
      <c r="CH8" s="101"/>
      <c r="CI8" s="101"/>
      <c r="CJ8" s="24"/>
    </row>
    <row r="9" spans="2:88" ht="15" customHeight="1" x14ac:dyDescent="0.3">
      <c r="S9" s="2" t="s">
        <v>169</v>
      </c>
      <c r="T9" s="232">
        <f>'Form 2F.1 - Design'!O126</f>
        <v>0</v>
      </c>
      <c r="U9" s="232"/>
      <c r="V9" s="232"/>
      <c r="W9" s="232"/>
      <c r="X9" s="232"/>
      <c r="Y9" s="232"/>
      <c r="AA9" s="9"/>
      <c r="AC9" s="9"/>
      <c r="AR9" s="21">
        <v>1</v>
      </c>
      <c r="AS9" s="83" t="s">
        <v>302</v>
      </c>
      <c r="AU9" s="21"/>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101"/>
      <c r="BV9" s="101"/>
      <c r="BW9" s="101"/>
      <c r="BX9" s="101"/>
      <c r="BY9" s="101"/>
      <c r="BZ9" s="101"/>
      <c r="CA9" s="101"/>
      <c r="CB9" s="101"/>
      <c r="CC9" s="101"/>
      <c r="CD9" s="101"/>
      <c r="CE9" s="101"/>
      <c r="CF9" s="101"/>
      <c r="CG9" s="101"/>
      <c r="CH9" s="101"/>
      <c r="CI9" s="101"/>
    </row>
    <row r="10" spans="2:88" ht="15" customHeight="1" x14ac:dyDescent="0.3">
      <c r="E10" s="2" t="s">
        <v>313</v>
      </c>
      <c r="F10" s="55"/>
      <c r="G10" s="9" t="s">
        <v>314</v>
      </c>
      <c r="H10" s="104"/>
      <c r="I10" s="55"/>
      <c r="J10" s="9" t="s">
        <v>315</v>
      </c>
      <c r="S10" s="2" t="s">
        <v>170</v>
      </c>
      <c r="T10" s="228">
        <f>'Form 2F.1 - Design'!W126</f>
        <v>0</v>
      </c>
      <c r="U10" s="228"/>
      <c r="V10" s="228"/>
      <c r="W10" s="228"/>
      <c r="X10" s="228"/>
      <c r="Y10" s="228"/>
      <c r="AA10" s="9"/>
      <c r="AC10" s="9"/>
      <c r="AD10" s="2" t="s">
        <v>495</v>
      </c>
      <c r="AE10" s="225">
        <f>'Form 2F.1 - Design'!AE8</f>
        <v>0</v>
      </c>
      <c r="AF10" s="225"/>
      <c r="AG10" s="225"/>
      <c r="AH10" s="225"/>
      <c r="AI10" s="225"/>
      <c r="AJ10" s="225"/>
      <c r="AS10" s="21" t="s">
        <v>94</v>
      </c>
      <c r="AT10" s="63" t="s">
        <v>303</v>
      </c>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4"/>
      <c r="BV10" s="24"/>
      <c r="BW10" s="24"/>
      <c r="BX10" s="24"/>
      <c r="BY10" s="24"/>
      <c r="BZ10" s="24"/>
      <c r="CA10" s="24"/>
      <c r="CB10" s="24"/>
      <c r="CC10" s="24"/>
      <c r="CD10" s="24"/>
      <c r="CE10" s="24"/>
      <c r="CF10" s="24"/>
      <c r="CG10" s="24"/>
      <c r="CH10" s="24"/>
      <c r="CI10" s="24"/>
      <c r="CJ10" s="24"/>
    </row>
    <row r="11" spans="2:88" ht="15" customHeight="1" x14ac:dyDescent="0.3">
      <c r="AM11" s="89">
        <f>IF(AND(ISBLANK(F10),ISBLANK(I10)),0,1)</f>
        <v>0</v>
      </c>
      <c r="AN11" s="89">
        <f>IF(ISBLANK(F10),0,1)</f>
        <v>0</v>
      </c>
      <c r="AO11" s="89">
        <f>IF(ISBLANK(I10),0,2)</f>
        <v>0</v>
      </c>
      <c r="AP11" s="89">
        <f>IF(ISBLANK(F10),1,IF(ISBLANK(I10),2,3))</f>
        <v>1</v>
      </c>
      <c r="AQ11" s="89">
        <f>SUM(AN11:AO11)</f>
        <v>0</v>
      </c>
      <c r="AS11" s="4" t="s">
        <v>95</v>
      </c>
      <c r="AT11" s="63" t="s">
        <v>304</v>
      </c>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4"/>
      <c r="BV11" s="24"/>
      <c r="BW11" s="24"/>
      <c r="BX11" s="24"/>
      <c r="BY11" s="24"/>
      <c r="BZ11" s="24"/>
      <c r="CA11" s="24"/>
      <c r="CB11" s="24"/>
      <c r="CC11" s="24"/>
      <c r="CD11" s="24"/>
      <c r="CE11" s="24"/>
      <c r="CF11" s="24"/>
      <c r="CG11" s="24"/>
      <c r="CH11" s="24"/>
      <c r="CI11" s="24"/>
      <c r="CJ11" s="24"/>
    </row>
    <row r="12" spans="2:88" ht="15" customHeight="1" x14ac:dyDescent="0.3">
      <c r="C12" s="2"/>
      <c r="E12" s="2" t="s">
        <v>176</v>
      </c>
      <c r="F12" s="55"/>
      <c r="G12" s="26" t="s">
        <v>306</v>
      </c>
      <c r="M12" s="103"/>
      <c r="U12" s="2" t="s">
        <v>307</v>
      </c>
      <c r="V12" s="55"/>
      <c r="W12" s="9" t="s">
        <v>308</v>
      </c>
      <c r="AG12" s="2" t="s">
        <v>309</v>
      </c>
      <c r="AH12" s="191"/>
      <c r="AI12" s="191"/>
      <c r="AM12" s="89">
        <f>IF(AND(ISBLANK(V12),ISBLANK(V14)),0,1)</f>
        <v>0</v>
      </c>
      <c r="AN12" s="89">
        <f>IF(ISBLANK(V12),0,1)</f>
        <v>0</v>
      </c>
      <c r="AO12" s="89">
        <f>IF(ISBLANK(V14),0,1)</f>
        <v>0</v>
      </c>
      <c r="AP12" s="89">
        <f>IF(ISBLANK(V12),1,IF(ISBLANK(V14),2,3))</f>
        <v>1</v>
      </c>
      <c r="AS12" s="4" t="s">
        <v>108</v>
      </c>
      <c r="AT12" s="26" t="s">
        <v>305</v>
      </c>
    </row>
    <row r="13" spans="2:88" ht="4.95" customHeight="1" x14ac:dyDescent="0.3">
      <c r="C13" s="2"/>
      <c r="D13" s="2"/>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4"/>
      <c r="BV13" s="24"/>
      <c r="BW13" s="24"/>
      <c r="BX13" s="24"/>
      <c r="BY13" s="24"/>
      <c r="BZ13" s="24"/>
      <c r="CA13" s="24"/>
      <c r="CB13" s="24"/>
      <c r="CC13" s="24"/>
      <c r="CD13" s="24"/>
      <c r="CE13" s="24"/>
      <c r="CF13" s="24"/>
      <c r="CG13" s="24"/>
      <c r="CH13" s="24"/>
      <c r="CI13" s="24"/>
      <c r="CJ13" s="24"/>
    </row>
    <row r="14" spans="2:88" ht="15" customHeight="1" x14ac:dyDescent="0.3">
      <c r="F14" s="55"/>
      <c r="G14" s="26" t="s">
        <v>310</v>
      </c>
      <c r="V14" s="55"/>
      <c r="W14" s="9" t="s">
        <v>311</v>
      </c>
      <c r="AG14" s="2" t="s">
        <v>312</v>
      </c>
      <c r="AH14" s="191"/>
      <c r="AI14" s="191"/>
      <c r="AM14" s="89">
        <f>IF(ISBLANK(V12),0,1)</f>
        <v>0</v>
      </c>
      <c r="AN14" s="89">
        <f>IF(ISBLANK(V14),0,2)</f>
        <v>0</v>
      </c>
      <c r="AO14" s="89">
        <f>SUM(AM14:AN14)</f>
        <v>0</v>
      </c>
      <c r="AS14" s="4" t="s">
        <v>109</v>
      </c>
      <c r="AT14" s="26" t="s">
        <v>324</v>
      </c>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4"/>
      <c r="BV14" s="24"/>
      <c r="BW14" s="24"/>
      <c r="BX14" s="24"/>
      <c r="BY14" s="24"/>
      <c r="BZ14" s="24"/>
      <c r="CA14" s="24"/>
      <c r="CB14" s="24"/>
      <c r="CC14" s="24"/>
      <c r="CD14" s="24"/>
      <c r="CE14" s="24"/>
      <c r="CF14" s="24"/>
      <c r="CG14" s="24"/>
      <c r="CH14" s="24"/>
      <c r="CI14" s="24"/>
      <c r="CJ14" s="24"/>
    </row>
    <row r="15" spans="2:88" ht="15" customHeight="1" x14ac:dyDescent="0.3">
      <c r="AK15" s="2"/>
      <c r="AL15" s="2"/>
      <c r="AR15" s="112" t="s">
        <v>354</v>
      </c>
      <c r="AS15" s="63" t="s">
        <v>355</v>
      </c>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4"/>
      <c r="BV15" s="24"/>
      <c r="BW15" s="24"/>
      <c r="BX15" s="24"/>
      <c r="BY15" s="24"/>
      <c r="BZ15" s="24"/>
      <c r="CA15" s="24"/>
      <c r="CB15" s="24"/>
      <c r="CC15" s="24"/>
      <c r="CD15" s="24"/>
      <c r="CE15" s="24"/>
      <c r="CF15" s="24"/>
      <c r="CG15" s="24"/>
      <c r="CH15" s="24"/>
      <c r="CI15" s="24"/>
      <c r="CJ15" s="24"/>
    </row>
    <row r="16" spans="2:88" ht="15" customHeight="1" x14ac:dyDescent="0.3">
      <c r="B16" s="55"/>
      <c r="C16" s="26" t="s">
        <v>124</v>
      </c>
      <c r="E16" s="55"/>
      <c r="F16" s="26" t="s">
        <v>123</v>
      </c>
      <c r="G16" s="2"/>
      <c r="H16" s="26" t="s">
        <v>420</v>
      </c>
      <c r="AE16" s="2"/>
      <c r="AK16" s="2"/>
      <c r="AL16" s="2"/>
      <c r="AM16" s="89">
        <f>IF(AND(ISBLANK(B16),ISBLANK(E16)),1,2)</f>
        <v>1</v>
      </c>
      <c r="AN16" s="89">
        <f>IF(ISBLANK(B16),1,2)</f>
        <v>1</v>
      </c>
      <c r="AO16" s="89">
        <f>IF(ISBLANK(B16),0,2)</f>
        <v>0</v>
      </c>
      <c r="AP16" s="89">
        <f>IF(ISBLANK(B16),1,IF(ISBLANK(E16),2,3))</f>
        <v>1</v>
      </c>
      <c r="AR16" s="112">
        <v>3</v>
      </c>
      <c r="AS16" s="26" t="s">
        <v>436</v>
      </c>
      <c r="AU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4"/>
      <c r="BV16" s="24"/>
      <c r="BW16" s="24"/>
      <c r="BX16" s="24"/>
      <c r="BY16" s="24"/>
      <c r="BZ16" s="24"/>
      <c r="CA16" s="24"/>
      <c r="CB16" s="24"/>
      <c r="CC16" s="24"/>
      <c r="CD16" s="24"/>
      <c r="CE16" s="24"/>
      <c r="CF16" s="24"/>
      <c r="CG16" s="24"/>
      <c r="CH16" s="24"/>
      <c r="CI16" s="24"/>
      <c r="CJ16" s="24"/>
    </row>
    <row r="17" spans="2:88" ht="4.95" customHeight="1" x14ac:dyDescent="0.3">
      <c r="B17" s="2"/>
      <c r="C17" s="2"/>
      <c r="D17" s="2"/>
      <c r="E17" s="2"/>
      <c r="F17" s="2"/>
      <c r="G17" s="2"/>
      <c r="AE17" s="2"/>
      <c r="AF17" s="2"/>
      <c r="AG17" s="2"/>
      <c r="AH17" s="2"/>
      <c r="AI17" s="2"/>
      <c r="AJ17" s="2"/>
      <c r="AK17" s="2"/>
      <c r="AL17" s="2"/>
      <c r="AR17" s="21"/>
      <c r="AS17" s="21"/>
      <c r="AT17" s="63"/>
      <c r="AU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4"/>
      <c r="BV17" s="24"/>
      <c r="BW17" s="24"/>
      <c r="BX17" s="24"/>
      <c r="BY17" s="24"/>
      <c r="BZ17" s="24"/>
      <c r="CA17" s="24"/>
      <c r="CB17" s="24"/>
      <c r="CC17" s="24"/>
      <c r="CD17" s="24"/>
      <c r="CE17" s="24"/>
      <c r="CF17" s="24"/>
      <c r="CG17" s="24"/>
      <c r="CH17" s="24"/>
      <c r="CI17" s="24"/>
      <c r="CJ17" s="24"/>
    </row>
    <row r="18" spans="2:88" ht="15" customHeight="1" x14ac:dyDescent="0.3">
      <c r="B18" s="55"/>
      <c r="C18" s="26" t="s">
        <v>124</v>
      </c>
      <c r="E18" s="55"/>
      <c r="F18" s="26" t="s">
        <v>123</v>
      </c>
      <c r="G18" s="2"/>
      <c r="H18" s="26" t="s">
        <v>316</v>
      </c>
      <c r="AK18" s="2"/>
      <c r="AL18" s="2"/>
      <c r="AM18" s="89">
        <f>IF(AND(ISBLANK(B18),ISBLANK(E18)),1,2)</f>
        <v>1</v>
      </c>
      <c r="AN18" s="89">
        <f>IF(ISBLANK(B18),1,2)</f>
        <v>1</v>
      </c>
      <c r="AO18" s="89">
        <f>IF(ISBLANK(B18),0,2)</f>
        <v>0</v>
      </c>
      <c r="AP18" s="89">
        <f>IF(ISBLANK(B18),1,IF(ISBLANK(E18),2,3))</f>
        <v>1</v>
      </c>
      <c r="AR18" s="24"/>
      <c r="AS18" s="4" t="s">
        <v>94</v>
      </c>
      <c r="AT18" s="26" t="s">
        <v>437</v>
      </c>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4"/>
      <c r="BV18" s="24"/>
      <c r="BW18" s="24"/>
      <c r="BX18" s="24"/>
      <c r="BY18" s="24"/>
      <c r="BZ18" s="24"/>
      <c r="CA18" s="24"/>
      <c r="CB18" s="24"/>
      <c r="CC18" s="24"/>
      <c r="CD18" s="24"/>
      <c r="CE18" s="24"/>
      <c r="CF18" s="24"/>
      <c r="CG18" s="24"/>
      <c r="CH18" s="24"/>
      <c r="CI18" s="24"/>
      <c r="CJ18" s="24"/>
    </row>
    <row r="19" spans="2:88" ht="4.95" customHeight="1" x14ac:dyDescent="0.3">
      <c r="B19" s="2"/>
      <c r="C19" s="2"/>
      <c r="D19" s="2"/>
      <c r="E19" s="2"/>
      <c r="F19" s="2"/>
      <c r="G19" s="2"/>
      <c r="AE19" s="2"/>
      <c r="AF19" s="2"/>
      <c r="AG19" s="2"/>
      <c r="AH19" s="2"/>
      <c r="AI19" s="2"/>
      <c r="AJ19" s="2"/>
      <c r="AK19" s="2"/>
      <c r="AL19" s="2"/>
      <c r="AR19" s="24"/>
      <c r="AS19" s="21"/>
      <c r="AT19" s="63"/>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4"/>
      <c r="BV19" s="24"/>
      <c r="BW19" s="24"/>
      <c r="BX19" s="24"/>
      <c r="BY19" s="24"/>
      <c r="BZ19" s="24"/>
      <c r="CA19" s="24"/>
      <c r="CB19" s="24"/>
      <c r="CC19" s="24"/>
      <c r="CD19" s="24"/>
      <c r="CE19" s="24"/>
      <c r="CF19" s="24"/>
      <c r="CG19" s="24"/>
      <c r="CH19" s="24"/>
      <c r="CI19" s="24"/>
      <c r="CJ19" s="24"/>
    </row>
    <row r="20" spans="2:88" ht="15" customHeight="1" x14ac:dyDescent="0.3">
      <c r="B20" s="55"/>
      <c r="C20" s="26" t="s">
        <v>124</v>
      </c>
      <c r="E20" s="55"/>
      <c r="F20" s="26" t="s">
        <v>123</v>
      </c>
      <c r="G20" s="2"/>
      <c r="H20" s="26" t="s">
        <v>421</v>
      </c>
      <c r="AJ20" s="2"/>
      <c r="AK20" s="2"/>
      <c r="AL20" s="2"/>
      <c r="AM20" s="89">
        <f>IF(AND(ISBLANK(B20),ISBLANK(E20)),1,2)</f>
        <v>1</v>
      </c>
      <c r="AN20" s="89">
        <f>IF(ISBLANK(B20),1,2)</f>
        <v>1</v>
      </c>
      <c r="AO20" s="89">
        <f>IF(ISBLANK(B20),0,2)</f>
        <v>0</v>
      </c>
      <c r="AP20" s="89">
        <f>IF(ISBLANK(B20),1,IF(ISBLANK(E20),2,3))</f>
        <v>1</v>
      </c>
      <c r="AR20" s="24"/>
      <c r="AS20" s="4" t="s">
        <v>95</v>
      </c>
      <c r="AT20" s="63" t="s">
        <v>438</v>
      </c>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4"/>
      <c r="BV20" s="24"/>
      <c r="BW20" s="24"/>
      <c r="BX20" s="24"/>
      <c r="BY20" s="24"/>
      <c r="BZ20" s="24"/>
      <c r="CA20" s="24"/>
      <c r="CB20" s="24"/>
      <c r="CC20" s="24"/>
      <c r="CD20" s="24"/>
      <c r="CE20" s="24"/>
      <c r="CF20" s="24"/>
      <c r="CG20" s="24"/>
      <c r="CH20" s="24"/>
      <c r="CI20" s="24"/>
      <c r="CJ20" s="24"/>
    </row>
    <row r="21" spans="2:88" ht="4.95" customHeight="1" x14ac:dyDescent="0.3">
      <c r="B21" s="2"/>
      <c r="C21" s="2"/>
      <c r="D21" s="2"/>
      <c r="E21" s="2"/>
      <c r="F21" s="2"/>
      <c r="G21" s="2"/>
      <c r="AE21" s="2"/>
      <c r="AF21" s="2"/>
      <c r="AG21" s="2"/>
      <c r="AJ21" s="2"/>
      <c r="AK21" s="2"/>
      <c r="AL21" s="2"/>
      <c r="AR21" s="24"/>
      <c r="AS21" s="21"/>
      <c r="AT21" s="63"/>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4"/>
      <c r="BV21" s="24"/>
      <c r="BW21" s="24"/>
      <c r="BX21" s="24"/>
      <c r="BY21" s="24"/>
      <c r="BZ21" s="24"/>
      <c r="CA21" s="24"/>
      <c r="CB21" s="24"/>
      <c r="CC21" s="24"/>
      <c r="CD21" s="24"/>
      <c r="CE21" s="24"/>
      <c r="CF21" s="24"/>
      <c r="CG21" s="24"/>
      <c r="CH21" s="24"/>
      <c r="CI21" s="24"/>
      <c r="CJ21" s="24"/>
    </row>
    <row r="22" spans="2:88" ht="15" customHeight="1" x14ac:dyDescent="0.3">
      <c r="B22" s="2"/>
      <c r="C22" s="2"/>
      <c r="D22" s="2"/>
      <c r="E22" s="2"/>
      <c r="F22" s="2"/>
      <c r="G22" s="2"/>
      <c r="K22" s="195" t="str">
        <f>IF($AO$14=1,"Phase",IF($AO$14=2,"Lot","Type?"))</f>
        <v>Type?</v>
      </c>
      <c r="L22" s="195"/>
      <c r="M22" s="195"/>
      <c r="R22" s="195" t="s">
        <v>352</v>
      </c>
      <c r="S22" s="195"/>
      <c r="T22" s="195"/>
      <c r="Y22" s="195" t="s">
        <v>353</v>
      </c>
      <c r="Z22" s="195"/>
      <c r="AA22" s="195"/>
      <c r="AE22" s="2"/>
      <c r="AF22" s="2"/>
      <c r="AG22" s="2"/>
      <c r="AJ22" s="2"/>
      <c r="AK22" s="2"/>
      <c r="AL22" s="2"/>
      <c r="AS22" s="21" t="s">
        <v>108</v>
      </c>
      <c r="AT22" s="26" t="s">
        <v>439</v>
      </c>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4"/>
      <c r="BV22" s="24"/>
      <c r="BW22" s="24"/>
      <c r="BX22" s="24"/>
      <c r="BY22" s="24"/>
      <c r="BZ22" s="24"/>
      <c r="CA22" s="24"/>
      <c r="CB22" s="24"/>
      <c r="CC22" s="24"/>
      <c r="CD22" s="24"/>
      <c r="CE22" s="24"/>
      <c r="CF22" s="24"/>
      <c r="CG22" s="24"/>
      <c r="CH22" s="24"/>
      <c r="CI22" s="24"/>
      <c r="CJ22" s="24"/>
    </row>
    <row r="23" spans="2:88" ht="15" customHeight="1" x14ac:dyDescent="0.3">
      <c r="B23" s="195" t="s">
        <v>538</v>
      </c>
      <c r="C23" s="195"/>
      <c r="D23" s="195"/>
      <c r="F23" s="195" t="str">
        <f>IF($AO$14=1,"No. Lots",IF($AO$14=2,"Lot ID","Type?"))</f>
        <v>Type?</v>
      </c>
      <c r="G23" s="195"/>
      <c r="H23" s="195"/>
      <c r="K23" s="195" t="s">
        <v>18</v>
      </c>
      <c r="L23" s="195"/>
      <c r="M23" s="195"/>
      <c r="R23" s="195" t="s">
        <v>317</v>
      </c>
      <c r="S23" s="195"/>
      <c r="T23" s="195"/>
      <c r="Y23" s="195" t="s">
        <v>317</v>
      </c>
      <c r="Z23" s="195"/>
      <c r="AA23" s="195"/>
      <c r="AD23" s="26" t="s">
        <v>318</v>
      </c>
      <c r="AR23" s="24"/>
      <c r="AS23" s="21" t="s">
        <v>109</v>
      </c>
      <c r="AT23" s="63" t="s">
        <v>440</v>
      </c>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4"/>
      <c r="BV23" s="24"/>
      <c r="BW23" s="24"/>
      <c r="BX23" s="24"/>
      <c r="BY23" s="24"/>
      <c r="BZ23" s="24"/>
      <c r="CA23" s="24"/>
      <c r="CB23" s="24"/>
      <c r="CC23" s="24"/>
      <c r="CD23" s="24"/>
      <c r="CE23" s="24"/>
      <c r="CF23" s="24"/>
      <c r="CG23" s="24"/>
      <c r="CH23" s="24"/>
      <c r="CI23" s="24"/>
      <c r="CJ23" s="24"/>
    </row>
    <row r="24" spans="2:88" ht="15" customHeight="1" x14ac:dyDescent="0.3">
      <c r="B24" s="233"/>
      <c r="C24" s="233"/>
      <c r="D24" s="233"/>
      <c r="F24" s="233"/>
      <c r="G24" s="233"/>
      <c r="H24" s="233"/>
      <c r="K24" s="234"/>
      <c r="L24" s="234"/>
      <c r="M24" s="234"/>
      <c r="N24" s="181" t="str">
        <f>IF($AQ$11=0,"Units?",IF($AQ$11=1,"ac",IF($AQ$11=2,"sq-ft","Error")))</f>
        <v>Units?</v>
      </c>
      <c r="O24" s="181"/>
      <c r="R24" s="234"/>
      <c r="S24" s="234"/>
      <c r="T24" s="234"/>
      <c r="U24" s="181" t="str">
        <f>IF($AQ$11=0,"Units?",IF($AQ$11=1,"ac",IF($AQ$11=2,"sq-ft","Error")))</f>
        <v>Units?</v>
      </c>
      <c r="V24" s="181"/>
      <c r="Y24" s="234"/>
      <c r="Z24" s="234"/>
      <c r="AA24" s="234"/>
      <c r="AB24" s="181" t="str">
        <f>IF($AQ$11=0,"Units?",IF($AQ$11=1,"ac",IF($AQ$11=2,"sq-ft","Error")))</f>
        <v>Units?</v>
      </c>
      <c r="AC24" s="181"/>
      <c r="AE24" s="55"/>
      <c r="AF24" s="26" t="s">
        <v>123</v>
      </c>
      <c r="AH24" s="55"/>
      <c r="AI24" s="26" t="s">
        <v>124</v>
      </c>
      <c r="AM24" s="89">
        <f>IF(ISBLANK(B24),1,2)</f>
        <v>1</v>
      </c>
      <c r="AN24" s="89">
        <f>IF(AND(ISBLANK(AE24),ISBLANK(AH24)),0,1)</f>
        <v>0</v>
      </c>
      <c r="AO24" s="89">
        <f>IF(AND(ISBLANK(AE24),LEN(AH24)&gt;0),2,1)</f>
        <v>1</v>
      </c>
      <c r="AP24" s="89">
        <f>IF(ISBLANK(AE24),1,IF(ISBLANK(AH24),2,3))</f>
        <v>1</v>
      </c>
      <c r="AS24" s="21" t="s">
        <v>107</v>
      </c>
      <c r="AT24" s="63" t="s">
        <v>441</v>
      </c>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4"/>
      <c r="BV24" s="24"/>
      <c r="BW24" s="24"/>
      <c r="BX24" s="24"/>
      <c r="BY24" s="24"/>
      <c r="BZ24" s="24"/>
      <c r="CA24" s="24"/>
      <c r="CB24" s="24"/>
      <c r="CC24" s="24"/>
      <c r="CD24" s="24"/>
      <c r="CE24" s="24"/>
      <c r="CF24" s="24"/>
      <c r="CG24" s="24"/>
      <c r="CH24" s="24"/>
      <c r="CI24" s="24"/>
      <c r="CJ24" s="24"/>
    </row>
    <row r="25" spans="2:88" ht="4.95" customHeight="1" x14ac:dyDescent="0.3">
      <c r="C25" s="4"/>
      <c r="F25" s="35"/>
      <c r="G25" s="35"/>
      <c r="K25" s="106"/>
      <c r="L25" s="106"/>
      <c r="M25" s="106"/>
      <c r="N25" s="9"/>
      <c r="O25" s="9"/>
      <c r="R25" s="106"/>
      <c r="S25" s="106"/>
      <c r="T25" s="106"/>
      <c r="U25" s="9"/>
      <c r="V25" s="9"/>
      <c r="Y25" s="106"/>
      <c r="Z25" s="106"/>
      <c r="AA25" s="106"/>
      <c r="AB25" s="9"/>
      <c r="AC25" s="9"/>
      <c r="AE25" s="107"/>
      <c r="AH25" s="107"/>
      <c r="AM25" s="20">
        <f t="shared" ref="AM25:AM51" si="0">B25</f>
        <v>0</v>
      </c>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4"/>
      <c r="BV25" s="24"/>
      <c r="BW25" s="24"/>
      <c r="BX25" s="24"/>
      <c r="BY25" s="24"/>
      <c r="BZ25" s="24"/>
      <c r="CA25" s="24"/>
      <c r="CB25" s="24"/>
      <c r="CC25" s="24"/>
      <c r="CD25" s="24"/>
      <c r="CE25" s="24"/>
      <c r="CF25" s="24"/>
      <c r="CG25" s="24"/>
      <c r="CH25" s="24"/>
      <c r="CI25" s="24"/>
      <c r="CJ25" s="24"/>
    </row>
    <row r="26" spans="2:88" ht="15" customHeight="1" x14ac:dyDescent="0.3">
      <c r="B26" s="233"/>
      <c r="C26" s="233"/>
      <c r="D26" s="233"/>
      <c r="F26" s="233"/>
      <c r="G26" s="233"/>
      <c r="H26" s="233"/>
      <c r="K26" s="234"/>
      <c r="L26" s="234"/>
      <c r="M26" s="234"/>
      <c r="N26" s="181" t="str">
        <f>IF($AQ$11=0,"Units?",IF($AQ$11=1,"ac",IF($AQ$11=2,"sq-ft","Error")))</f>
        <v>Units?</v>
      </c>
      <c r="O26" s="181"/>
      <c r="R26" s="234"/>
      <c r="S26" s="234"/>
      <c r="T26" s="234"/>
      <c r="U26" s="181" t="str">
        <f>IF($AQ$11=0,"Units?",IF($AQ$11=1,"ac",IF($AQ$11=2,"sq-ft","Error")))</f>
        <v>Units?</v>
      </c>
      <c r="V26" s="181"/>
      <c r="Y26" s="234"/>
      <c r="Z26" s="234"/>
      <c r="AA26" s="234"/>
      <c r="AB26" s="181" t="str">
        <f>IF($AQ$11=0,"Units?",IF($AQ$11=1,"ac",IF($AQ$11=2,"sq-ft","Error")))</f>
        <v>Units?</v>
      </c>
      <c r="AC26" s="181"/>
      <c r="AE26" s="55"/>
      <c r="AF26" s="26" t="s">
        <v>123</v>
      </c>
      <c r="AH26" s="55"/>
      <c r="AI26" s="26" t="s">
        <v>124</v>
      </c>
      <c r="AM26" s="89">
        <f>IF(ISBLANK(B26),1,2)</f>
        <v>1</v>
      </c>
      <c r="AN26" s="89">
        <f>IF(AND(ISBLANK(AE26),ISBLANK(AH26)),0,1)</f>
        <v>0</v>
      </c>
      <c r="AO26" s="89">
        <f>IF(AND(ISBLANK(AE26),LEN(AH26)&gt;0),2,1)</f>
        <v>1</v>
      </c>
      <c r="AP26" s="89">
        <f>IF(ISBLANK(AE26),1,IF(ISBLANK(AH26),2,3))</f>
        <v>1</v>
      </c>
      <c r="AS26" s="21" t="s">
        <v>110</v>
      </c>
      <c r="AT26" s="63" t="s">
        <v>442</v>
      </c>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4"/>
      <c r="BV26" s="24"/>
      <c r="BW26" s="24"/>
      <c r="BX26" s="24"/>
      <c r="BY26" s="24"/>
      <c r="BZ26" s="24"/>
      <c r="CA26" s="24"/>
      <c r="CB26" s="24"/>
      <c r="CC26" s="24"/>
      <c r="CD26" s="24"/>
      <c r="CE26" s="24"/>
      <c r="CF26" s="24"/>
      <c r="CG26" s="24"/>
      <c r="CH26" s="24"/>
      <c r="CI26" s="24"/>
      <c r="CJ26" s="24"/>
    </row>
    <row r="27" spans="2:88" ht="4.95" customHeight="1" x14ac:dyDescent="0.3">
      <c r="C27" s="4"/>
      <c r="F27" s="35"/>
      <c r="G27" s="35"/>
      <c r="K27" s="106"/>
      <c r="L27" s="106"/>
      <c r="M27" s="106"/>
      <c r="N27" s="9"/>
      <c r="O27" s="9"/>
      <c r="R27" s="106"/>
      <c r="S27" s="106"/>
      <c r="T27" s="106"/>
      <c r="U27" s="9"/>
      <c r="V27" s="9"/>
      <c r="Y27" s="106"/>
      <c r="Z27" s="106"/>
      <c r="AA27" s="106"/>
      <c r="AB27" s="9"/>
      <c r="AC27" s="9"/>
      <c r="AE27" s="107"/>
      <c r="AH27" s="107"/>
      <c r="AM27" s="20">
        <f t="shared" si="0"/>
        <v>0</v>
      </c>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4"/>
      <c r="BV27" s="24"/>
      <c r="BW27" s="24"/>
      <c r="BX27" s="24"/>
      <c r="BY27" s="24"/>
      <c r="BZ27" s="24"/>
      <c r="CA27" s="24"/>
      <c r="CB27" s="24"/>
      <c r="CC27" s="24"/>
      <c r="CD27" s="24"/>
      <c r="CE27" s="24"/>
      <c r="CF27" s="24"/>
      <c r="CG27" s="24"/>
      <c r="CH27" s="24"/>
      <c r="CI27" s="24"/>
      <c r="CJ27" s="24"/>
    </row>
    <row r="28" spans="2:88" ht="15" customHeight="1" x14ac:dyDescent="0.3">
      <c r="B28" s="233"/>
      <c r="C28" s="233"/>
      <c r="D28" s="233"/>
      <c r="F28" s="233"/>
      <c r="G28" s="233"/>
      <c r="H28" s="233"/>
      <c r="K28" s="234"/>
      <c r="L28" s="234"/>
      <c r="M28" s="234"/>
      <c r="N28" s="181" t="str">
        <f>IF($AQ$11=0,"Units?",IF($AQ$11=1,"ac",IF($AQ$11=2,"sq-ft","Error")))</f>
        <v>Units?</v>
      </c>
      <c r="O28" s="181"/>
      <c r="R28" s="234"/>
      <c r="S28" s="234"/>
      <c r="T28" s="234"/>
      <c r="U28" s="181" t="str">
        <f>IF($AQ$11=0,"Units?",IF($AQ$11=1,"ac",IF($AQ$11=2,"sq-ft","Error")))</f>
        <v>Units?</v>
      </c>
      <c r="V28" s="181"/>
      <c r="Y28" s="234"/>
      <c r="Z28" s="234"/>
      <c r="AA28" s="234"/>
      <c r="AB28" s="181" t="str">
        <f>IF($AQ$11=0,"Units?",IF($AQ$11=1,"ac",IF($AQ$11=2,"sq-ft","Error")))</f>
        <v>Units?</v>
      </c>
      <c r="AC28" s="181"/>
      <c r="AE28" s="55"/>
      <c r="AF28" s="26" t="s">
        <v>123</v>
      </c>
      <c r="AH28" s="55"/>
      <c r="AI28" s="26" t="s">
        <v>124</v>
      </c>
      <c r="AM28" s="89">
        <f>IF(ISBLANK(B28),1,2)</f>
        <v>1</v>
      </c>
      <c r="AN28" s="89">
        <f>IF(AND(ISBLANK(AE28),ISBLANK(AH28)),0,1)</f>
        <v>0</v>
      </c>
      <c r="AO28" s="89">
        <f>IF(AND(ISBLANK(AE28),LEN(AH28)&gt;0),2,1)</f>
        <v>1</v>
      </c>
      <c r="AP28" s="89">
        <f>IF(ISBLANK(AE28),1,IF(ISBLANK(AH28),2,3))</f>
        <v>1</v>
      </c>
      <c r="AR28" s="112">
        <v>4</v>
      </c>
      <c r="AS28" s="63" t="s">
        <v>496</v>
      </c>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4"/>
      <c r="BV28" s="24"/>
      <c r="BW28" s="24"/>
      <c r="BX28" s="24"/>
      <c r="BY28" s="24"/>
      <c r="BZ28" s="24"/>
      <c r="CA28" s="24"/>
      <c r="CB28" s="24"/>
      <c r="CC28" s="24"/>
      <c r="CD28" s="24"/>
      <c r="CE28" s="24"/>
      <c r="CF28" s="24"/>
      <c r="CG28" s="24"/>
      <c r="CH28" s="24"/>
      <c r="CI28" s="24"/>
      <c r="CJ28" s="24"/>
    </row>
    <row r="29" spans="2:88" ht="4.95" customHeight="1" x14ac:dyDescent="0.3">
      <c r="C29" s="4"/>
      <c r="F29" s="35"/>
      <c r="G29" s="35"/>
      <c r="K29" s="106"/>
      <c r="L29" s="106"/>
      <c r="M29" s="106"/>
      <c r="N29" s="9"/>
      <c r="O29" s="9"/>
      <c r="R29" s="106"/>
      <c r="S29" s="106"/>
      <c r="T29" s="106"/>
      <c r="U29" s="9"/>
      <c r="V29" s="9"/>
      <c r="Y29" s="106"/>
      <c r="Z29" s="106"/>
      <c r="AA29" s="106"/>
      <c r="AB29" s="9"/>
      <c r="AC29" s="9"/>
      <c r="AE29" s="107"/>
      <c r="AH29" s="107"/>
      <c r="AM29" s="20">
        <f t="shared" si="0"/>
        <v>0</v>
      </c>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4"/>
      <c r="BV29" s="24"/>
      <c r="BW29" s="24"/>
      <c r="BX29" s="24"/>
      <c r="BY29" s="24"/>
      <c r="BZ29" s="24"/>
      <c r="CA29" s="24"/>
      <c r="CB29" s="24"/>
      <c r="CC29" s="24"/>
      <c r="CD29" s="24"/>
      <c r="CE29" s="24"/>
      <c r="CF29" s="24"/>
      <c r="CG29" s="24"/>
      <c r="CH29" s="24"/>
      <c r="CI29" s="24"/>
      <c r="CJ29" s="24"/>
    </row>
    <row r="30" spans="2:88" ht="15" customHeight="1" x14ac:dyDescent="0.3">
      <c r="B30" s="233"/>
      <c r="C30" s="233"/>
      <c r="D30" s="233"/>
      <c r="F30" s="233"/>
      <c r="G30" s="233"/>
      <c r="H30" s="233"/>
      <c r="K30" s="234"/>
      <c r="L30" s="234"/>
      <c r="M30" s="234"/>
      <c r="N30" s="181" t="str">
        <f>IF($AQ$11=0,"Units?",IF($AQ$11=1,"ac",IF($AQ$11=2,"sq-ft","Error")))</f>
        <v>Units?</v>
      </c>
      <c r="O30" s="181"/>
      <c r="R30" s="234"/>
      <c r="S30" s="234"/>
      <c r="T30" s="234"/>
      <c r="U30" s="181" t="str">
        <f>IF($AQ$11=0,"Units?",IF($AQ$11=1,"ac",IF($AQ$11=2,"sq-ft","Error")))</f>
        <v>Units?</v>
      </c>
      <c r="V30" s="181"/>
      <c r="Y30" s="234"/>
      <c r="Z30" s="234"/>
      <c r="AA30" s="234"/>
      <c r="AB30" s="181" t="str">
        <f>IF($AQ$11=0,"Units?",IF($AQ$11=1,"ac",IF($AQ$11=2,"sq-ft","Error")))</f>
        <v>Units?</v>
      </c>
      <c r="AC30" s="181"/>
      <c r="AE30" s="55"/>
      <c r="AF30" s="26" t="s">
        <v>123</v>
      </c>
      <c r="AH30" s="55"/>
      <c r="AI30" s="26" t="s">
        <v>124</v>
      </c>
      <c r="AM30" s="89">
        <f>IF(ISBLANK(B30),1,2)</f>
        <v>1</v>
      </c>
      <c r="AN30" s="89">
        <f>IF(AND(ISBLANK(AE30),ISBLANK(AH30)),0,1)</f>
        <v>0</v>
      </c>
      <c r="AO30" s="89">
        <f>IF(AND(ISBLANK(AE30),LEN(AH30)&gt;0),2,1)</f>
        <v>1</v>
      </c>
      <c r="AP30" s="89">
        <f>IF(ISBLANK(AE30),1,IF(ISBLANK(AH30),2,3))</f>
        <v>1</v>
      </c>
      <c r="AR30" s="112">
        <v>5</v>
      </c>
      <c r="AS30" s="26" t="s">
        <v>545</v>
      </c>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4"/>
      <c r="BV30" s="24"/>
      <c r="BW30" s="24"/>
      <c r="BX30" s="24"/>
      <c r="BY30" s="24"/>
      <c r="BZ30" s="24"/>
      <c r="CA30" s="24"/>
      <c r="CB30" s="24"/>
      <c r="CC30" s="24"/>
      <c r="CD30" s="24"/>
      <c r="CE30" s="24"/>
      <c r="CF30" s="24"/>
      <c r="CG30" s="24"/>
      <c r="CH30" s="24"/>
      <c r="CI30" s="24"/>
      <c r="CJ30" s="24"/>
    </row>
    <row r="31" spans="2:88" ht="4.95" customHeight="1" x14ac:dyDescent="0.3">
      <c r="C31" s="4"/>
      <c r="F31" s="35"/>
      <c r="G31" s="35"/>
      <c r="K31" s="106"/>
      <c r="L31" s="106"/>
      <c r="M31" s="106"/>
      <c r="N31" s="9"/>
      <c r="O31" s="9"/>
      <c r="R31" s="106"/>
      <c r="S31" s="106"/>
      <c r="T31" s="106"/>
      <c r="U31" s="9"/>
      <c r="V31" s="9"/>
      <c r="Y31" s="106"/>
      <c r="Z31" s="106"/>
      <c r="AA31" s="106"/>
      <c r="AB31" s="9"/>
      <c r="AC31" s="9"/>
      <c r="AE31" s="107"/>
      <c r="AH31" s="107"/>
      <c r="AM31" s="20">
        <f t="shared" si="0"/>
        <v>0</v>
      </c>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4"/>
      <c r="BV31" s="24"/>
      <c r="BW31" s="24"/>
      <c r="BX31" s="24"/>
      <c r="BY31" s="24"/>
      <c r="BZ31" s="24"/>
      <c r="CA31" s="24"/>
      <c r="CB31" s="24"/>
      <c r="CC31" s="24"/>
      <c r="CD31" s="24"/>
      <c r="CE31" s="24"/>
      <c r="CF31" s="24"/>
      <c r="CG31" s="24"/>
      <c r="CH31" s="24"/>
      <c r="CI31" s="24"/>
      <c r="CJ31" s="24"/>
    </row>
    <row r="32" spans="2:88" ht="15" customHeight="1" x14ac:dyDescent="0.3">
      <c r="B32" s="233"/>
      <c r="C32" s="233"/>
      <c r="D32" s="233"/>
      <c r="F32" s="233"/>
      <c r="G32" s="233"/>
      <c r="H32" s="233"/>
      <c r="K32" s="234"/>
      <c r="L32" s="234"/>
      <c r="M32" s="234"/>
      <c r="N32" s="181" t="str">
        <f>IF($AQ$11=0,"Units?",IF($AQ$11=1,"ac",IF($AQ$11=2,"sq-ft","Error")))</f>
        <v>Units?</v>
      </c>
      <c r="O32" s="181"/>
      <c r="R32" s="234"/>
      <c r="S32" s="234"/>
      <c r="T32" s="234"/>
      <c r="U32" s="181" t="str">
        <f>IF($AQ$11=0,"Units?",IF($AQ$11=1,"ac",IF($AQ$11=2,"sq-ft","Error")))</f>
        <v>Units?</v>
      </c>
      <c r="V32" s="181"/>
      <c r="Y32" s="234"/>
      <c r="Z32" s="234"/>
      <c r="AA32" s="234"/>
      <c r="AB32" s="181" t="str">
        <f>IF($AQ$11=0,"Units?",IF($AQ$11=1,"ac",IF($AQ$11=2,"sq-ft","Error")))</f>
        <v>Units?</v>
      </c>
      <c r="AC32" s="181"/>
      <c r="AE32" s="55"/>
      <c r="AF32" s="26" t="s">
        <v>123</v>
      </c>
      <c r="AH32" s="55"/>
      <c r="AI32" s="26" t="s">
        <v>124</v>
      </c>
      <c r="AM32" s="89">
        <f>IF(ISBLANK(B32),1,2)</f>
        <v>1</v>
      </c>
      <c r="AN32" s="89">
        <f>IF(AND(ISBLANK(AE32),ISBLANK(AH32)),0,1)</f>
        <v>0</v>
      </c>
      <c r="AO32" s="89">
        <f>IF(AND(ISBLANK(AE32),LEN(AH32)&gt;0),2,1)</f>
        <v>1</v>
      </c>
      <c r="AP32" s="89">
        <f>IF(ISBLANK(AE32),1,IF(ISBLANK(AH32),2,3))</f>
        <v>1</v>
      </c>
      <c r="AV32" s="21"/>
      <c r="AW32" s="21"/>
      <c r="AX32" s="21"/>
      <c r="AY32" s="21"/>
      <c r="AZ32" s="21"/>
      <c r="BA32" s="21"/>
      <c r="BB32" s="21"/>
      <c r="BC32" s="21"/>
      <c r="BD32" s="21"/>
      <c r="BE32" s="21"/>
      <c r="BF32" s="21"/>
      <c r="BG32" s="21"/>
      <c r="BH32" s="21"/>
      <c r="BI32" s="21"/>
      <c r="BJ32" s="21"/>
      <c r="BK32" s="21"/>
      <c r="BL32" s="21"/>
      <c r="BM32" s="21"/>
      <c r="BN32" s="21"/>
      <c r="BO32" s="21"/>
      <c r="BP32" s="21"/>
      <c r="BQ32" s="21"/>
      <c r="BR32" s="21"/>
      <c r="BS32" s="21"/>
      <c r="BT32" s="21"/>
      <c r="BU32" s="24"/>
      <c r="BV32" s="24"/>
      <c r="BW32" s="24"/>
      <c r="BX32" s="24"/>
      <c r="BY32" s="24"/>
      <c r="BZ32" s="24"/>
      <c r="CA32" s="24"/>
      <c r="CB32" s="24"/>
      <c r="CC32" s="24"/>
      <c r="CD32" s="24"/>
      <c r="CE32" s="24"/>
      <c r="CF32" s="24"/>
      <c r="CG32" s="24"/>
      <c r="CH32" s="24"/>
      <c r="CI32" s="24"/>
      <c r="CJ32" s="24"/>
    </row>
    <row r="33" spans="2:88" ht="4.95" customHeight="1" x14ac:dyDescent="0.3">
      <c r="C33" s="4"/>
      <c r="F33" s="35"/>
      <c r="G33" s="35"/>
      <c r="K33" s="106"/>
      <c r="L33" s="106"/>
      <c r="M33" s="106"/>
      <c r="N33" s="9"/>
      <c r="O33" s="9"/>
      <c r="R33" s="106"/>
      <c r="S33" s="106"/>
      <c r="T33" s="106"/>
      <c r="U33" s="9"/>
      <c r="V33" s="9"/>
      <c r="Y33" s="106"/>
      <c r="Z33" s="106"/>
      <c r="AA33" s="106"/>
      <c r="AB33" s="9"/>
      <c r="AC33" s="9"/>
      <c r="AE33" s="107"/>
      <c r="AH33" s="107"/>
      <c r="AM33" s="20">
        <f t="shared" si="0"/>
        <v>0</v>
      </c>
      <c r="AV33" s="21"/>
      <c r="AW33" s="21"/>
      <c r="AX33" s="21"/>
      <c r="AY33" s="21"/>
      <c r="AZ33" s="21"/>
      <c r="BA33" s="21"/>
      <c r="BB33" s="21"/>
      <c r="BC33" s="21"/>
      <c r="BD33" s="21"/>
      <c r="BE33" s="21"/>
      <c r="BF33" s="21"/>
      <c r="BG33" s="21"/>
      <c r="BH33" s="21"/>
      <c r="BI33" s="21"/>
      <c r="BJ33" s="21"/>
      <c r="BK33" s="21"/>
      <c r="BL33" s="21"/>
      <c r="BM33" s="21"/>
      <c r="BN33" s="21"/>
      <c r="BO33" s="21"/>
      <c r="BP33" s="21"/>
      <c r="BQ33" s="21"/>
      <c r="BR33" s="21"/>
      <c r="BS33" s="21"/>
      <c r="BT33" s="21"/>
      <c r="BU33" s="24"/>
      <c r="BV33" s="24"/>
      <c r="BW33" s="24"/>
      <c r="BX33" s="24"/>
      <c r="BY33" s="24"/>
      <c r="BZ33" s="24"/>
      <c r="CA33" s="24"/>
      <c r="CB33" s="24"/>
      <c r="CC33" s="24"/>
      <c r="CD33" s="24"/>
      <c r="CE33" s="24"/>
      <c r="CF33" s="24"/>
      <c r="CG33" s="24"/>
      <c r="CH33" s="24"/>
      <c r="CI33" s="24"/>
      <c r="CJ33" s="24"/>
    </row>
    <row r="34" spans="2:88" ht="15" customHeight="1" x14ac:dyDescent="0.3">
      <c r="B34" s="233"/>
      <c r="C34" s="233"/>
      <c r="D34" s="233"/>
      <c r="F34" s="233"/>
      <c r="G34" s="233"/>
      <c r="H34" s="233"/>
      <c r="K34" s="234"/>
      <c r="L34" s="234"/>
      <c r="M34" s="234"/>
      <c r="N34" s="181" t="str">
        <f>IF($AQ$11=0,"Units?",IF($AQ$11=1,"ac",IF($AQ$11=2,"sq-ft","Error")))</f>
        <v>Units?</v>
      </c>
      <c r="O34" s="181"/>
      <c r="R34" s="234"/>
      <c r="S34" s="234"/>
      <c r="T34" s="234"/>
      <c r="U34" s="181" t="str">
        <f>IF($AQ$11=0,"Units?",IF($AQ$11=1,"ac",IF($AQ$11=2,"sq-ft","Error")))</f>
        <v>Units?</v>
      </c>
      <c r="V34" s="181"/>
      <c r="Y34" s="234"/>
      <c r="Z34" s="234"/>
      <c r="AA34" s="234"/>
      <c r="AB34" s="181" t="str">
        <f>IF($AQ$11=0,"Units?",IF($AQ$11=1,"ac",IF($AQ$11=2,"sq-ft","Error")))</f>
        <v>Units?</v>
      </c>
      <c r="AC34" s="181"/>
      <c r="AE34" s="55"/>
      <c r="AF34" s="26" t="s">
        <v>123</v>
      </c>
      <c r="AH34" s="55"/>
      <c r="AI34" s="26" t="s">
        <v>124</v>
      </c>
      <c r="AM34" s="89">
        <f>IF(ISBLANK(B34),1,2)</f>
        <v>1</v>
      </c>
      <c r="AN34" s="89">
        <f>IF(AND(ISBLANK(AE34),ISBLANK(AH34)),0,1)</f>
        <v>0</v>
      </c>
      <c r="AO34" s="89">
        <f>IF(AND(ISBLANK(AE34),LEN(AH34)&gt;0),2,1)</f>
        <v>1</v>
      </c>
      <c r="AP34" s="89">
        <f>IF(ISBLANK(AE34),1,IF(ISBLANK(AH34),2,3))</f>
        <v>1</v>
      </c>
      <c r="AR34" s="24"/>
      <c r="AS34" s="21"/>
      <c r="AT34" s="63"/>
      <c r="AU34" s="21"/>
      <c r="AV34" s="21"/>
      <c r="AW34" s="21"/>
      <c r="AX34" s="21"/>
      <c r="AY34" s="21"/>
      <c r="AZ34" s="21"/>
      <c r="BA34" s="21"/>
      <c r="BB34" s="21"/>
      <c r="BC34" s="21"/>
      <c r="BD34" s="21"/>
      <c r="BE34" s="21"/>
      <c r="BF34" s="21"/>
      <c r="BG34" s="21"/>
      <c r="BH34" s="21"/>
      <c r="BI34" s="21"/>
      <c r="BJ34" s="21"/>
      <c r="BK34" s="21"/>
      <c r="BL34" s="21"/>
      <c r="BM34" s="21"/>
      <c r="BN34" s="21"/>
      <c r="BO34" s="21"/>
      <c r="BP34" s="21"/>
      <c r="BQ34" s="21"/>
      <c r="BR34" s="21"/>
      <c r="BS34" s="21"/>
      <c r="BT34" s="21"/>
      <c r="BU34" s="24"/>
      <c r="BV34" s="24"/>
      <c r="BW34" s="24"/>
      <c r="BX34" s="24"/>
      <c r="BY34" s="24"/>
      <c r="BZ34" s="24"/>
      <c r="CA34" s="24"/>
      <c r="CB34" s="24"/>
      <c r="CC34" s="24"/>
      <c r="CD34" s="24"/>
      <c r="CE34" s="24"/>
      <c r="CF34" s="24"/>
      <c r="CG34" s="24"/>
      <c r="CH34" s="24"/>
      <c r="CI34" s="24"/>
      <c r="CJ34" s="24"/>
    </row>
    <row r="35" spans="2:88" ht="4.95" customHeight="1" x14ac:dyDescent="0.3">
      <c r="C35" s="4"/>
      <c r="F35" s="35"/>
      <c r="G35" s="35"/>
      <c r="K35" s="106"/>
      <c r="L35" s="106"/>
      <c r="M35" s="106"/>
      <c r="N35" s="9"/>
      <c r="O35" s="9"/>
      <c r="R35" s="106"/>
      <c r="S35" s="106"/>
      <c r="T35" s="106"/>
      <c r="U35" s="9"/>
      <c r="V35" s="9"/>
      <c r="Y35" s="106"/>
      <c r="Z35" s="106"/>
      <c r="AA35" s="106"/>
      <c r="AB35" s="9"/>
      <c r="AC35" s="9"/>
      <c r="AE35" s="107"/>
      <c r="AH35" s="107"/>
      <c r="AM35" s="20">
        <f t="shared" si="0"/>
        <v>0</v>
      </c>
      <c r="AR35" s="24"/>
      <c r="AS35" s="21"/>
      <c r="AT35" s="63"/>
      <c r="AU35" s="21"/>
      <c r="AV35" s="21"/>
      <c r="AW35" s="21"/>
      <c r="AX35" s="21"/>
      <c r="AY35" s="21"/>
      <c r="AZ35" s="21"/>
      <c r="BA35" s="21"/>
      <c r="BB35" s="21"/>
      <c r="BC35" s="21"/>
      <c r="BD35" s="21"/>
      <c r="BE35" s="21"/>
      <c r="BF35" s="21"/>
      <c r="BG35" s="21"/>
      <c r="BH35" s="21"/>
      <c r="BI35" s="21"/>
      <c r="BJ35" s="21"/>
      <c r="BK35" s="21"/>
      <c r="BL35" s="21"/>
      <c r="BM35" s="21"/>
      <c r="BN35" s="21"/>
      <c r="BO35" s="21"/>
      <c r="BP35" s="21"/>
      <c r="BQ35" s="21"/>
      <c r="BR35" s="21"/>
      <c r="BS35" s="21"/>
      <c r="BT35" s="21"/>
      <c r="BU35" s="24"/>
      <c r="BV35" s="24"/>
      <c r="BW35" s="24"/>
      <c r="BX35" s="24"/>
      <c r="BY35" s="24"/>
      <c r="BZ35" s="24"/>
      <c r="CA35" s="24"/>
      <c r="CB35" s="24"/>
      <c r="CC35" s="24"/>
      <c r="CD35" s="24"/>
      <c r="CE35" s="24"/>
      <c r="CF35" s="24"/>
      <c r="CG35" s="24"/>
      <c r="CH35" s="24"/>
      <c r="CI35" s="24"/>
      <c r="CJ35" s="24"/>
    </row>
    <row r="36" spans="2:88" ht="15" customHeight="1" x14ac:dyDescent="0.3">
      <c r="B36" s="233"/>
      <c r="C36" s="233"/>
      <c r="D36" s="233"/>
      <c r="F36" s="233"/>
      <c r="G36" s="233"/>
      <c r="H36" s="233"/>
      <c r="K36" s="234"/>
      <c r="L36" s="234"/>
      <c r="M36" s="234"/>
      <c r="N36" s="181" t="str">
        <f>IF($AQ$11=0,"Units?",IF($AQ$11=1,"ac",IF($AQ$11=2,"sq-ft","Error")))</f>
        <v>Units?</v>
      </c>
      <c r="O36" s="181"/>
      <c r="R36" s="234"/>
      <c r="S36" s="234"/>
      <c r="T36" s="234"/>
      <c r="U36" s="181" t="str">
        <f>IF($AQ$11=0,"Units?",IF($AQ$11=1,"ac",IF($AQ$11=2,"sq-ft","Error")))</f>
        <v>Units?</v>
      </c>
      <c r="V36" s="181"/>
      <c r="Y36" s="234"/>
      <c r="Z36" s="234"/>
      <c r="AA36" s="234"/>
      <c r="AB36" s="181" t="str">
        <f>IF($AQ$11=0,"Units?",IF($AQ$11=1,"ac",IF($AQ$11=2,"sq-ft","Error")))</f>
        <v>Units?</v>
      </c>
      <c r="AC36" s="181"/>
      <c r="AE36" s="55"/>
      <c r="AF36" s="26" t="s">
        <v>123</v>
      </c>
      <c r="AH36" s="55"/>
      <c r="AI36" s="26" t="s">
        <v>124</v>
      </c>
      <c r="AM36" s="89">
        <f>IF(ISBLANK(B36),1,2)</f>
        <v>1</v>
      </c>
      <c r="AN36" s="89">
        <f>IF(AND(ISBLANK(AE36),ISBLANK(AH36)),0,1)</f>
        <v>0</v>
      </c>
      <c r="AO36" s="89">
        <f>IF(AND(ISBLANK(AE36),LEN(AH36)&gt;0),2,1)</f>
        <v>1</v>
      </c>
      <c r="AP36" s="89">
        <f>IF(ISBLANK(AE36),1,IF(ISBLANK(AH36),2,3))</f>
        <v>1</v>
      </c>
      <c r="AR36" s="21"/>
      <c r="AS36" s="105"/>
      <c r="AT36" s="63"/>
      <c r="AU36" s="21"/>
      <c r="AV36" s="21"/>
      <c r="AW36" s="21"/>
      <c r="AX36" s="21"/>
      <c r="AY36" s="21"/>
      <c r="AZ36" s="21"/>
      <c r="BA36" s="21"/>
      <c r="BB36" s="21"/>
      <c r="BC36" s="21"/>
      <c r="BD36" s="21"/>
      <c r="BE36" s="21"/>
      <c r="BF36" s="21"/>
      <c r="BG36" s="21"/>
      <c r="BH36" s="21"/>
      <c r="BI36" s="21"/>
      <c r="BJ36" s="21"/>
      <c r="BK36" s="21"/>
      <c r="BL36" s="21"/>
      <c r="BM36" s="21"/>
      <c r="BN36" s="21"/>
      <c r="BO36" s="21"/>
      <c r="BP36" s="21"/>
      <c r="BQ36" s="21"/>
      <c r="BR36" s="21"/>
      <c r="BS36" s="21"/>
      <c r="BT36" s="21"/>
      <c r="BU36" s="24"/>
      <c r="BV36" s="24"/>
      <c r="BW36" s="24"/>
      <c r="BX36" s="24"/>
      <c r="BY36" s="24"/>
      <c r="BZ36" s="24"/>
      <c r="CA36" s="24"/>
      <c r="CB36" s="24"/>
      <c r="CC36" s="24"/>
      <c r="CD36" s="24"/>
      <c r="CE36" s="24"/>
      <c r="CF36" s="24"/>
      <c r="CG36" s="24"/>
      <c r="CH36" s="24"/>
      <c r="CI36" s="24"/>
      <c r="CJ36" s="24"/>
    </row>
    <row r="37" spans="2:88" ht="4.95" customHeight="1" x14ac:dyDescent="0.3">
      <c r="C37" s="4"/>
      <c r="F37" s="35"/>
      <c r="G37" s="35"/>
      <c r="K37" s="106"/>
      <c r="L37" s="106"/>
      <c r="M37" s="106"/>
      <c r="N37" s="9"/>
      <c r="O37" s="9"/>
      <c r="R37" s="106"/>
      <c r="S37" s="106"/>
      <c r="T37" s="106"/>
      <c r="U37" s="9"/>
      <c r="V37" s="9"/>
      <c r="Y37" s="106"/>
      <c r="Z37" s="106"/>
      <c r="AA37" s="106"/>
      <c r="AB37" s="9"/>
      <c r="AC37" s="9"/>
      <c r="AE37" s="107"/>
      <c r="AH37" s="107"/>
      <c r="AM37" s="20">
        <f t="shared" si="0"/>
        <v>0</v>
      </c>
      <c r="AR37" s="21"/>
      <c r="AS37" s="105"/>
      <c r="AT37" s="63"/>
      <c r="AU37" s="21"/>
      <c r="AV37" s="21"/>
      <c r="AW37" s="21"/>
      <c r="AX37" s="21"/>
      <c r="AY37" s="21"/>
      <c r="AZ37" s="21"/>
      <c r="BA37" s="21"/>
      <c r="BB37" s="21"/>
      <c r="BC37" s="21"/>
      <c r="BD37" s="21"/>
      <c r="BE37" s="21"/>
      <c r="BF37" s="21"/>
      <c r="BG37" s="21"/>
      <c r="BH37" s="21"/>
      <c r="BI37" s="21"/>
      <c r="BJ37" s="21"/>
      <c r="BK37" s="21"/>
      <c r="BL37" s="21"/>
      <c r="BM37" s="21"/>
      <c r="BN37" s="21"/>
      <c r="BO37" s="21"/>
      <c r="BP37" s="21"/>
      <c r="BQ37" s="21"/>
      <c r="BR37" s="21"/>
      <c r="BS37" s="21"/>
      <c r="BT37" s="21"/>
      <c r="BU37" s="24"/>
      <c r="BV37" s="24"/>
      <c r="BW37" s="24"/>
      <c r="BX37" s="24"/>
      <c r="BY37" s="24"/>
      <c r="BZ37" s="24"/>
      <c r="CA37" s="24"/>
      <c r="CB37" s="24"/>
      <c r="CC37" s="24"/>
      <c r="CD37" s="24"/>
      <c r="CE37" s="24"/>
      <c r="CF37" s="24"/>
      <c r="CG37" s="24"/>
      <c r="CH37" s="24"/>
      <c r="CI37" s="24"/>
      <c r="CJ37" s="24"/>
    </row>
    <row r="38" spans="2:88" ht="15" customHeight="1" x14ac:dyDescent="0.3">
      <c r="B38" s="233"/>
      <c r="C38" s="233"/>
      <c r="D38" s="233"/>
      <c r="F38" s="233"/>
      <c r="G38" s="233"/>
      <c r="H38" s="233"/>
      <c r="K38" s="234"/>
      <c r="L38" s="234"/>
      <c r="M38" s="234"/>
      <c r="N38" s="181" t="str">
        <f>IF($AQ$11=0,"Units?",IF($AQ$11=1,"ac",IF($AQ$11=2,"sq-ft","Error")))</f>
        <v>Units?</v>
      </c>
      <c r="O38" s="181"/>
      <c r="R38" s="234"/>
      <c r="S38" s="234"/>
      <c r="T38" s="234"/>
      <c r="U38" s="181" t="str">
        <f>IF($AQ$11=0,"Units?",IF($AQ$11=1,"ac",IF($AQ$11=2,"sq-ft","Error")))</f>
        <v>Units?</v>
      </c>
      <c r="V38" s="181"/>
      <c r="Y38" s="234"/>
      <c r="Z38" s="234"/>
      <c r="AA38" s="234"/>
      <c r="AB38" s="181" t="str">
        <f>IF($AQ$11=0,"Units?",IF($AQ$11=1,"ac",IF($AQ$11=2,"sq-ft","Error")))</f>
        <v>Units?</v>
      </c>
      <c r="AC38" s="181"/>
      <c r="AE38" s="55"/>
      <c r="AF38" s="26" t="s">
        <v>123</v>
      </c>
      <c r="AH38" s="55"/>
      <c r="AI38" s="26" t="s">
        <v>124</v>
      </c>
      <c r="AM38" s="89">
        <f>IF(ISBLANK(B38),1,2)</f>
        <v>1</v>
      </c>
      <c r="AN38" s="89">
        <f>IF(AND(ISBLANK(AE38),ISBLANK(AH38)),0,1)</f>
        <v>0</v>
      </c>
      <c r="AO38" s="89">
        <f>IF(AND(ISBLANK(AE38),LEN(AH38)&gt;0),2,1)</f>
        <v>1</v>
      </c>
      <c r="AP38" s="89">
        <f>IF(ISBLANK(AE38),1,IF(ISBLANK(AH38),2,3))</f>
        <v>1</v>
      </c>
      <c r="AR38" s="24"/>
      <c r="AS38" s="21"/>
      <c r="AT38" s="63"/>
      <c r="AU38" s="21"/>
      <c r="AV38" s="21"/>
      <c r="AW38" s="21"/>
      <c r="AX38" s="21"/>
      <c r="AY38" s="21"/>
      <c r="AZ38" s="21"/>
      <c r="BA38" s="21"/>
      <c r="BB38" s="21"/>
      <c r="BC38" s="21"/>
      <c r="BD38" s="21"/>
      <c r="BE38" s="21"/>
      <c r="BF38" s="21"/>
      <c r="BG38" s="21"/>
      <c r="BH38" s="21"/>
      <c r="BI38" s="21"/>
      <c r="BJ38" s="21"/>
      <c r="BK38" s="21"/>
      <c r="BL38" s="21"/>
      <c r="BM38" s="21"/>
      <c r="BN38" s="21"/>
      <c r="BO38" s="21"/>
      <c r="BP38" s="21"/>
      <c r="BQ38" s="21"/>
      <c r="BR38" s="21"/>
      <c r="BS38" s="21"/>
      <c r="BT38" s="21"/>
      <c r="BU38" s="24"/>
      <c r="BV38" s="24"/>
      <c r="BW38" s="24"/>
      <c r="BX38" s="24"/>
      <c r="BY38" s="24"/>
      <c r="BZ38" s="24"/>
      <c r="CA38" s="24"/>
      <c r="CB38" s="24"/>
      <c r="CC38" s="24"/>
      <c r="CD38" s="24"/>
      <c r="CE38" s="24"/>
      <c r="CF38" s="24"/>
      <c r="CG38" s="24"/>
      <c r="CH38" s="24"/>
      <c r="CI38" s="24"/>
      <c r="CJ38" s="24"/>
    </row>
    <row r="39" spans="2:88" ht="4.95" customHeight="1" x14ac:dyDescent="0.3">
      <c r="C39" s="4"/>
      <c r="F39" s="35"/>
      <c r="G39" s="35"/>
      <c r="K39" s="106"/>
      <c r="L39" s="106"/>
      <c r="M39" s="106"/>
      <c r="N39" s="9"/>
      <c r="O39" s="9"/>
      <c r="R39" s="106"/>
      <c r="S39" s="106"/>
      <c r="T39" s="106"/>
      <c r="U39" s="9"/>
      <c r="V39" s="9"/>
      <c r="Y39" s="106"/>
      <c r="Z39" s="106"/>
      <c r="AA39" s="106"/>
      <c r="AB39" s="9"/>
      <c r="AC39" s="9"/>
      <c r="AE39" s="107"/>
      <c r="AH39" s="107"/>
      <c r="AM39" s="20">
        <f t="shared" si="0"/>
        <v>0</v>
      </c>
      <c r="AR39" s="24"/>
      <c r="AS39" s="21"/>
      <c r="AT39" s="63"/>
      <c r="AU39" s="21"/>
      <c r="AV39" s="21"/>
      <c r="AW39" s="21"/>
      <c r="AX39" s="21"/>
      <c r="AY39" s="21"/>
      <c r="AZ39" s="21"/>
      <c r="BA39" s="21"/>
      <c r="BB39" s="21"/>
      <c r="BC39" s="21"/>
      <c r="BD39" s="21"/>
      <c r="BE39" s="21"/>
      <c r="BF39" s="21"/>
      <c r="BG39" s="21"/>
      <c r="BH39" s="21"/>
      <c r="BI39" s="21"/>
      <c r="BJ39" s="21"/>
      <c r="BK39" s="21"/>
      <c r="BL39" s="21"/>
      <c r="BM39" s="21"/>
      <c r="BN39" s="21"/>
      <c r="BO39" s="21"/>
      <c r="BP39" s="21"/>
      <c r="BQ39" s="21"/>
      <c r="BR39" s="21"/>
      <c r="BS39" s="21"/>
      <c r="BT39" s="21"/>
      <c r="BU39" s="24"/>
      <c r="BV39" s="24"/>
      <c r="BW39" s="24"/>
      <c r="BX39" s="24"/>
      <c r="BY39" s="24"/>
      <c r="BZ39" s="24"/>
      <c r="CA39" s="24"/>
      <c r="CB39" s="24"/>
      <c r="CC39" s="24"/>
      <c r="CD39" s="24"/>
      <c r="CE39" s="24"/>
      <c r="CF39" s="24"/>
      <c r="CG39" s="24"/>
      <c r="CH39" s="24"/>
      <c r="CI39" s="24"/>
      <c r="CJ39" s="24"/>
    </row>
    <row r="40" spans="2:88" ht="15" customHeight="1" x14ac:dyDescent="0.3">
      <c r="B40" s="233"/>
      <c r="C40" s="233"/>
      <c r="D40" s="233"/>
      <c r="F40" s="233"/>
      <c r="G40" s="233"/>
      <c r="H40" s="233"/>
      <c r="K40" s="234"/>
      <c r="L40" s="234"/>
      <c r="M40" s="234"/>
      <c r="N40" s="181" t="str">
        <f>IF($AQ$11=0,"Units?",IF($AQ$11=1,"ac",IF($AQ$11=2,"sq-ft","Error")))</f>
        <v>Units?</v>
      </c>
      <c r="O40" s="181"/>
      <c r="R40" s="234"/>
      <c r="S40" s="234"/>
      <c r="T40" s="234"/>
      <c r="U40" s="181" t="str">
        <f>IF($AQ$11=0,"Units?",IF($AQ$11=1,"ac",IF($AQ$11=2,"sq-ft","Error")))</f>
        <v>Units?</v>
      </c>
      <c r="V40" s="181"/>
      <c r="Y40" s="234"/>
      <c r="Z40" s="234"/>
      <c r="AA40" s="234"/>
      <c r="AB40" s="181" t="str">
        <f>IF($AQ$11=0,"Units?",IF($AQ$11=1,"ac",IF($AQ$11=2,"sq-ft","Error")))</f>
        <v>Units?</v>
      </c>
      <c r="AC40" s="181"/>
      <c r="AE40" s="55"/>
      <c r="AF40" s="26" t="s">
        <v>123</v>
      </c>
      <c r="AH40" s="55"/>
      <c r="AI40" s="26" t="s">
        <v>124</v>
      </c>
      <c r="AM40" s="89">
        <f>IF(ISBLANK(B40),1,2)</f>
        <v>1</v>
      </c>
      <c r="AN40" s="89">
        <f>IF(AND(ISBLANK(AE40),ISBLANK(AH40)),0,1)</f>
        <v>0</v>
      </c>
      <c r="AO40" s="89">
        <f>IF(AND(ISBLANK(AE40),LEN(AH40)&gt;0),2,1)</f>
        <v>1</v>
      </c>
      <c r="AP40" s="89">
        <f>IF(ISBLANK(AE40),1,IF(ISBLANK(AH40),2,3))</f>
        <v>1</v>
      </c>
      <c r="AR40" s="24"/>
      <c r="AS40" s="21"/>
      <c r="AT40" s="63"/>
      <c r="AU40" s="21"/>
      <c r="AV40" s="21"/>
      <c r="AW40" s="21"/>
      <c r="AX40" s="21"/>
      <c r="AY40" s="21"/>
      <c r="AZ40" s="21"/>
      <c r="BA40" s="21"/>
      <c r="BB40" s="21"/>
      <c r="BC40" s="21"/>
      <c r="BD40" s="21"/>
      <c r="BE40" s="21"/>
      <c r="BF40" s="21"/>
      <c r="BG40" s="21"/>
      <c r="BH40" s="21"/>
      <c r="BI40" s="21"/>
      <c r="BJ40" s="21"/>
      <c r="BK40" s="21"/>
      <c r="BL40" s="21"/>
      <c r="BM40" s="21"/>
      <c r="BN40" s="21"/>
      <c r="BO40" s="21"/>
      <c r="BP40" s="21"/>
      <c r="BQ40" s="21"/>
      <c r="BR40" s="21"/>
      <c r="BS40" s="21"/>
      <c r="BT40" s="21"/>
      <c r="BU40" s="24"/>
      <c r="BV40" s="24"/>
      <c r="BW40" s="24"/>
      <c r="BX40" s="24"/>
      <c r="BY40" s="24"/>
      <c r="BZ40" s="24"/>
      <c r="CA40" s="24"/>
      <c r="CB40" s="24"/>
      <c r="CC40" s="24"/>
      <c r="CD40" s="24"/>
      <c r="CE40" s="24"/>
      <c r="CF40" s="24"/>
      <c r="CG40" s="24"/>
      <c r="CH40" s="24"/>
      <c r="CI40" s="24"/>
      <c r="CJ40" s="24"/>
    </row>
    <row r="41" spans="2:88" ht="4.95" customHeight="1" x14ac:dyDescent="0.3">
      <c r="C41" s="4"/>
      <c r="F41" s="35"/>
      <c r="G41" s="35"/>
      <c r="K41" s="106"/>
      <c r="L41" s="106"/>
      <c r="M41" s="106"/>
      <c r="N41" s="9"/>
      <c r="O41" s="9"/>
      <c r="R41" s="106"/>
      <c r="S41" s="106"/>
      <c r="T41" s="106"/>
      <c r="U41" s="9"/>
      <c r="V41" s="9"/>
      <c r="Y41" s="106"/>
      <c r="Z41" s="106"/>
      <c r="AA41" s="106"/>
      <c r="AB41" s="9"/>
      <c r="AC41" s="9"/>
      <c r="AE41" s="107"/>
      <c r="AH41" s="107"/>
      <c r="AM41" s="20">
        <f t="shared" si="0"/>
        <v>0</v>
      </c>
      <c r="AR41" s="24"/>
      <c r="AS41" s="21"/>
      <c r="AT41" s="63"/>
      <c r="AU41" s="21"/>
      <c r="AV41" s="21"/>
      <c r="AW41" s="21"/>
      <c r="AX41" s="21"/>
      <c r="AY41" s="21"/>
      <c r="AZ41" s="21"/>
      <c r="BA41" s="21"/>
      <c r="BB41" s="21"/>
      <c r="BC41" s="21"/>
      <c r="BD41" s="21"/>
      <c r="BE41" s="21"/>
      <c r="BF41" s="21"/>
      <c r="BG41" s="21"/>
      <c r="BH41" s="21"/>
      <c r="BI41" s="21"/>
      <c r="BJ41" s="21"/>
      <c r="BK41" s="21"/>
      <c r="BL41" s="21"/>
      <c r="BM41" s="21"/>
      <c r="BN41" s="21"/>
      <c r="BO41" s="21"/>
      <c r="BP41" s="21"/>
      <c r="BQ41" s="21"/>
      <c r="BR41" s="21"/>
      <c r="BS41" s="21"/>
      <c r="BT41" s="21"/>
      <c r="BU41" s="24"/>
      <c r="BV41" s="24"/>
      <c r="BW41" s="24"/>
      <c r="BX41" s="24"/>
      <c r="BY41" s="24"/>
      <c r="BZ41" s="24"/>
      <c r="CA41" s="24"/>
      <c r="CB41" s="24"/>
      <c r="CC41" s="24"/>
      <c r="CD41" s="24"/>
      <c r="CE41" s="24"/>
      <c r="CF41" s="24"/>
      <c r="CG41" s="24"/>
      <c r="CH41" s="24"/>
      <c r="CI41" s="24"/>
      <c r="CJ41" s="24"/>
    </row>
    <row r="42" spans="2:88" ht="15" customHeight="1" x14ac:dyDescent="0.3">
      <c r="B42" s="233"/>
      <c r="C42" s="233"/>
      <c r="D42" s="233"/>
      <c r="F42" s="233"/>
      <c r="G42" s="233"/>
      <c r="H42" s="233"/>
      <c r="K42" s="234"/>
      <c r="L42" s="234"/>
      <c r="M42" s="234"/>
      <c r="N42" s="181" t="str">
        <f>IF($AQ$11=0,"Units?",IF($AQ$11=1,"ac",IF($AQ$11=2,"sq-ft","Error")))</f>
        <v>Units?</v>
      </c>
      <c r="O42" s="181"/>
      <c r="R42" s="234"/>
      <c r="S42" s="234"/>
      <c r="T42" s="234"/>
      <c r="U42" s="181" t="str">
        <f>IF($AQ$11=0,"Units?",IF($AQ$11=1,"ac",IF($AQ$11=2,"sq-ft","Error")))</f>
        <v>Units?</v>
      </c>
      <c r="V42" s="181"/>
      <c r="Y42" s="234"/>
      <c r="Z42" s="234"/>
      <c r="AA42" s="234"/>
      <c r="AB42" s="181" t="str">
        <f>IF($AQ$11=0,"Units?",IF($AQ$11=1,"ac",IF($AQ$11=2,"sq-ft","Error")))</f>
        <v>Units?</v>
      </c>
      <c r="AC42" s="181"/>
      <c r="AE42" s="55"/>
      <c r="AF42" s="26" t="s">
        <v>123</v>
      </c>
      <c r="AH42" s="55"/>
      <c r="AI42" s="26" t="s">
        <v>124</v>
      </c>
      <c r="AM42" s="89">
        <f>IF(ISBLANK(B42),1,2)</f>
        <v>1</v>
      </c>
      <c r="AN42" s="89">
        <f>IF(AND(ISBLANK(AE42),ISBLANK(AH42)),0,1)</f>
        <v>0</v>
      </c>
      <c r="AO42" s="89">
        <f>IF(AND(ISBLANK(AE42),LEN(AH42)&gt;0),2,1)</f>
        <v>1</v>
      </c>
      <c r="AP42" s="89">
        <f>IF(ISBLANK(AE42),1,IF(ISBLANK(AH42),2,3))</f>
        <v>1</v>
      </c>
      <c r="AR42" s="24"/>
      <c r="AU42" s="21"/>
      <c r="AV42" s="21"/>
      <c r="AW42" s="21"/>
      <c r="AX42" s="21"/>
      <c r="AY42" s="21"/>
      <c r="AZ42" s="21"/>
      <c r="BA42" s="21"/>
      <c r="BB42" s="21"/>
      <c r="BC42" s="21"/>
      <c r="BD42" s="21"/>
      <c r="BE42" s="21"/>
      <c r="BF42" s="21"/>
      <c r="BG42" s="21"/>
      <c r="BH42" s="21"/>
      <c r="BI42" s="21"/>
      <c r="BJ42" s="21"/>
      <c r="BK42" s="21"/>
      <c r="BL42" s="21"/>
      <c r="BM42" s="21"/>
      <c r="BN42" s="21"/>
      <c r="BO42" s="21"/>
      <c r="BP42" s="21"/>
      <c r="BQ42" s="21"/>
      <c r="BR42" s="21"/>
      <c r="BS42" s="21"/>
      <c r="BT42" s="21"/>
      <c r="BU42" s="24"/>
      <c r="BV42" s="24"/>
      <c r="BW42" s="24"/>
      <c r="BX42" s="24"/>
      <c r="BY42" s="24"/>
      <c r="BZ42" s="24"/>
      <c r="CA42" s="24"/>
      <c r="CB42" s="24"/>
      <c r="CC42" s="24"/>
      <c r="CD42" s="24"/>
      <c r="CE42" s="24"/>
      <c r="CF42" s="24"/>
      <c r="CG42" s="24"/>
      <c r="CH42" s="24"/>
      <c r="CI42" s="24"/>
      <c r="CJ42" s="24"/>
    </row>
    <row r="43" spans="2:88" ht="4.95" customHeight="1" x14ac:dyDescent="0.3">
      <c r="C43" s="4"/>
      <c r="F43" s="35"/>
      <c r="G43" s="35"/>
      <c r="K43" s="106"/>
      <c r="L43" s="106"/>
      <c r="M43" s="106"/>
      <c r="N43" s="9"/>
      <c r="O43" s="9"/>
      <c r="R43" s="106"/>
      <c r="S43" s="106"/>
      <c r="T43" s="106"/>
      <c r="U43" s="9"/>
      <c r="V43" s="9"/>
      <c r="Y43" s="106"/>
      <c r="Z43" s="106"/>
      <c r="AA43" s="106"/>
      <c r="AB43" s="9"/>
      <c r="AC43" s="9"/>
      <c r="AE43" s="107"/>
      <c r="AH43" s="107"/>
      <c r="AM43" s="20">
        <f t="shared" si="0"/>
        <v>0</v>
      </c>
      <c r="AR43" s="24"/>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4"/>
      <c r="BV43" s="24"/>
      <c r="BW43" s="24"/>
      <c r="BX43" s="24"/>
      <c r="BY43" s="24"/>
      <c r="BZ43" s="24"/>
      <c r="CA43" s="24"/>
      <c r="CB43" s="24"/>
      <c r="CC43" s="24"/>
      <c r="CD43" s="24"/>
      <c r="CE43" s="24"/>
      <c r="CF43" s="24"/>
      <c r="CG43" s="24"/>
      <c r="CH43" s="24"/>
      <c r="CI43" s="24"/>
      <c r="CJ43" s="24"/>
    </row>
    <row r="44" spans="2:88" ht="15" customHeight="1" x14ac:dyDescent="0.3">
      <c r="B44" s="233"/>
      <c r="C44" s="233"/>
      <c r="D44" s="233"/>
      <c r="F44" s="233"/>
      <c r="G44" s="233"/>
      <c r="H44" s="233"/>
      <c r="K44" s="234"/>
      <c r="L44" s="234"/>
      <c r="M44" s="234"/>
      <c r="N44" s="181" t="str">
        <f>IF($AQ$11=0,"Units?",IF($AQ$11=1,"ac",IF($AQ$11=2,"sq-ft","Error")))</f>
        <v>Units?</v>
      </c>
      <c r="O44" s="181"/>
      <c r="R44" s="234"/>
      <c r="S44" s="234"/>
      <c r="T44" s="234"/>
      <c r="U44" s="181" t="str">
        <f>IF($AQ$11=0,"Units?",IF($AQ$11=1,"ac",IF($AQ$11=2,"sq-ft","Error")))</f>
        <v>Units?</v>
      </c>
      <c r="V44" s="181"/>
      <c r="Y44" s="234"/>
      <c r="Z44" s="234"/>
      <c r="AA44" s="234"/>
      <c r="AB44" s="181" t="str">
        <f>IF($AQ$11=0,"Units?",IF($AQ$11=1,"ac",IF($AQ$11=2,"sq-ft","Error")))</f>
        <v>Units?</v>
      </c>
      <c r="AC44" s="181"/>
      <c r="AE44" s="55"/>
      <c r="AF44" s="26" t="s">
        <v>123</v>
      </c>
      <c r="AH44" s="55"/>
      <c r="AI44" s="26" t="s">
        <v>124</v>
      </c>
      <c r="AM44" s="89">
        <f>IF(ISBLANK(B44),1,2)</f>
        <v>1</v>
      </c>
      <c r="AN44" s="89">
        <f>IF(AND(ISBLANK(AE44),ISBLANK(AH44)),0,1)</f>
        <v>0</v>
      </c>
      <c r="AO44" s="89">
        <f>IF(AND(ISBLANK(AE44),LEN(AH44)&gt;0),2,1)</f>
        <v>1</v>
      </c>
      <c r="AP44" s="89">
        <f>IF(ISBLANK(AE44),1,IF(ISBLANK(AH44),2,3))</f>
        <v>1</v>
      </c>
      <c r="AR44" s="24"/>
      <c r="AS44" s="21"/>
      <c r="AT44" s="63"/>
      <c r="AV44" s="21"/>
      <c r="AW44" s="21"/>
      <c r="AX44" s="21"/>
      <c r="AY44" s="21"/>
      <c r="AZ44" s="21"/>
      <c r="BA44" s="21"/>
      <c r="BB44" s="21"/>
      <c r="BC44" s="21"/>
      <c r="BD44" s="21"/>
      <c r="BE44" s="21"/>
      <c r="BF44" s="21"/>
      <c r="BG44" s="21"/>
      <c r="BH44" s="21"/>
      <c r="BI44" s="21"/>
      <c r="BJ44" s="21"/>
      <c r="BK44" s="21"/>
      <c r="BL44" s="21"/>
      <c r="BM44" s="21"/>
      <c r="BN44" s="21"/>
      <c r="BO44" s="21"/>
      <c r="BP44" s="21"/>
      <c r="BQ44" s="21"/>
      <c r="BR44" s="21"/>
      <c r="BS44" s="21"/>
      <c r="BT44" s="21"/>
      <c r="BU44" s="24"/>
      <c r="BV44" s="24"/>
      <c r="BW44" s="24"/>
      <c r="BX44" s="24"/>
      <c r="BY44" s="24"/>
      <c r="BZ44" s="24"/>
      <c r="CA44" s="24"/>
      <c r="CB44" s="24"/>
      <c r="CC44" s="24"/>
      <c r="CD44" s="24"/>
      <c r="CE44" s="24"/>
      <c r="CF44" s="24"/>
      <c r="CG44" s="24"/>
      <c r="CH44" s="24"/>
      <c r="CI44" s="24"/>
      <c r="CJ44" s="24"/>
    </row>
    <row r="45" spans="2:88" ht="4.95" customHeight="1" x14ac:dyDescent="0.3">
      <c r="C45" s="4"/>
      <c r="F45" s="35"/>
      <c r="G45" s="35"/>
      <c r="K45" s="106"/>
      <c r="L45" s="106"/>
      <c r="M45" s="106"/>
      <c r="N45" s="9"/>
      <c r="O45" s="9"/>
      <c r="R45" s="106"/>
      <c r="S45" s="106"/>
      <c r="T45" s="106"/>
      <c r="U45" s="9"/>
      <c r="V45" s="9"/>
      <c r="Y45" s="106"/>
      <c r="Z45" s="106"/>
      <c r="AA45" s="106"/>
      <c r="AB45" s="9"/>
      <c r="AC45" s="9"/>
      <c r="AE45" s="107"/>
      <c r="AH45" s="107"/>
      <c r="AM45" s="20">
        <f t="shared" si="0"/>
        <v>0</v>
      </c>
      <c r="AR45" s="24"/>
      <c r="AS45" s="21"/>
      <c r="AT45" s="63"/>
      <c r="AV45" s="21"/>
      <c r="AW45" s="21"/>
      <c r="AX45" s="21"/>
      <c r="AY45" s="21"/>
      <c r="AZ45" s="21"/>
      <c r="BA45" s="21"/>
      <c r="BB45" s="21"/>
      <c r="BC45" s="21"/>
      <c r="BD45" s="21"/>
      <c r="BE45" s="21"/>
      <c r="BF45" s="21"/>
      <c r="BG45" s="21"/>
      <c r="BH45" s="21"/>
      <c r="BI45" s="21"/>
      <c r="BJ45" s="21"/>
      <c r="BK45" s="21"/>
      <c r="BL45" s="21"/>
      <c r="BM45" s="21"/>
      <c r="BN45" s="21"/>
      <c r="BO45" s="21"/>
      <c r="BP45" s="21"/>
      <c r="BQ45" s="21"/>
      <c r="BR45" s="21"/>
      <c r="BS45" s="21"/>
      <c r="BT45" s="21"/>
      <c r="BU45" s="24"/>
      <c r="BV45" s="24"/>
      <c r="BW45" s="24"/>
      <c r="BX45" s="24"/>
      <c r="BY45" s="24"/>
      <c r="BZ45" s="24"/>
      <c r="CA45" s="24"/>
      <c r="CB45" s="24"/>
      <c r="CC45" s="24"/>
      <c r="CD45" s="24"/>
      <c r="CE45" s="24"/>
      <c r="CF45" s="24"/>
      <c r="CG45" s="24"/>
      <c r="CH45" s="24"/>
      <c r="CI45" s="24"/>
      <c r="CJ45" s="24"/>
    </row>
    <row r="46" spans="2:88" ht="15" customHeight="1" x14ac:dyDescent="0.3">
      <c r="B46" s="233"/>
      <c r="C46" s="233"/>
      <c r="D46" s="233"/>
      <c r="F46" s="233"/>
      <c r="G46" s="233"/>
      <c r="H46" s="233"/>
      <c r="K46" s="234"/>
      <c r="L46" s="234"/>
      <c r="M46" s="234"/>
      <c r="N46" s="181" t="str">
        <f>IF($AQ$11=0,"Units?",IF($AQ$11=1,"ac",IF($AQ$11=2,"sq-ft","Error")))</f>
        <v>Units?</v>
      </c>
      <c r="O46" s="181"/>
      <c r="R46" s="234"/>
      <c r="S46" s="234"/>
      <c r="T46" s="234"/>
      <c r="U46" s="181" t="str">
        <f>IF($AQ$11=0,"Units?",IF($AQ$11=1,"ac",IF($AQ$11=2,"sq-ft","Error")))</f>
        <v>Units?</v>
      </c>
      <c r="V46" s="181"/>
      <c r="Y46" s="234"/>
      <c r="Z46" s="234"/>
      <c r="AA46" s="234"/>
      <c r="AB46" s="181" t="str">
        <f>IF($AQ$11=0,"Units?",IF($AQ$11=1,"ac",IF($AQ$11=2,"sq-ft","Error")))</f>
        <v>Units?</v>
      </c>
      <c r="AC46" s="181"/>
      <c r="AE46" s="55"/>
      <c r="AF46" s="26" t="s">
        <v>123</v>
      </c>
      <c r="AH46" s="55"/>
      <c r="AI46" s="26" t="s">
        <v>124</v>
      </c>
      <c r="AM46" s="89">
        <f>IF(ISBLANK(B46),1,2)</f>
        <v>1</v>
      </c>
      <c r="AN46" s="89">
        <f>IF(AND(ISBLANK(AE46),ISBLANK(AH46)),0,1)</f>
        <v>0</v>
      </c>
      <c r="AO46" s="89">
        <f>IF(AND(ISBLANK(AE46),LEN(AH46)&gt;0),2,1)</f>
        <v>1</v>
      </c>
      <c r="AP46" s="89">
        <f>IF(ISBLANK(AE46),1,IF(ISBLANK(AH46),2,3))</f>
        <v>1</v>
      </c>
      <c r="AR46" s="24"/>
      <c r="AS46" s="21"/>
      <c r="AT46" s="63"/>
      <c r="AU46" s="21"/>
      <c r="AV46" s="21"/>
      <c r="AW46" s="21"/>
      <c r="AX46" s="21"/>
      <c r="AY46" s="21"/>
      <c r="AZ46" s="21"/>
      <c r="BA46" s="21"/>
      <c r="BB46" s="21"/>
      <c r="BC46" s="21"/>
      <c r="BD46" s="21"/>
      <c r="BE46" s="21"/>
      <c r="BF46" s="21"/>
      <c r="BG46" s="21"/>
      <c r="BH46" s="21"/>
      <c r="BI46" s="21"/>
      <c r="BJ46" s="21"/>
      <c r="BK46" s="21"/>
      <c r="BL46" s="21"/>
      <c r="BM46" s="21"/>
      <c r="BN46" s="21"/>
      <c r="BO46" s="21"/>
      <c r="BP46" s="21"/>
      <c r="BQ46" s="21"/>
      <c r="BR46" s="21"/>
      <c r="BS46" s="21"/>
      <c r="BT46" s="21"/>
      <c r="BU46" s="24"/>
      <c r="BV46" s="24"/>
      <c r="BW46" s="24"/>
      <c r="BX46" s="24"/>
      <c r="BY46" s="24"/>
      <c r="BZ46" s="24"/>
      <c r="CA46" s="24"/>
      <c r="CB46" s="24"/>
      <c r="CC46" s="24"/>
      <c r="CD46" s="24"/>
      <c r="CE46" s="24"/>
      <c r="CF46" s="24"/>
      <c r="CG46" s="24"/>
      <c r="CH46" s="24"/>
      <c r="CI46" s="24"/>
      <c r="CJ46" s="24"/>
    </row>
    <row r="47" spans="2:88" ht="4.95" customHeight="1" x14ac:dyDescent="0.3">
      <c r="C47" s="4"/>
      <c r="F47" s="35"/>
      <c r="G47" s="35"/>
      <c r="K47" s="106"/>
      <c r="L47" s="106"/>
      <c r="M47" s="106"/>
      <c r="N47" s="9"/>
      <c r="O47" s="9"/>
      <c r="R47" s="106"/>
      <c r="S47" s="106"/>
      <c r="T47" s="106"/>
      <c r="U47" s="9"/>
      <c r="V47" s="9"/>
      <c r="Y47" s="106"/>
      <c r="Z47" s="106"/>
      <c r="AA47" s="106"/>
      <c r="AB47" s="9"/>
      <c r="AC47" s="9"/>
      <c r="AE47" s="107"/>
      <c r="AH47" s="107"/>
      <c r="AM47" s="20">
        <f t="shared" si="0"/>
        <v>0</v>
      </c>
      <c r="AR47" s="24"/>
      <c r="AS47" s="21"/>
      <c r="AT47" s="63"/>
      <c r="AU47" s="21"/>
      <c r="AV47" s="21"/>
      <c r="AW47" s="21"/>
      <c r="AX47" s="21"/>
      <c r="AY47" s="21"/>
      <c r="AZ47" s="21"/>
      <c r="BA47" s="21"/>
      <c r="BB47" s="21"/>
      <c r="BC47" s="21"/>
      <c r="BD47" s="21"/>
      <c r="BE47" s="21"/>
      <c r="BF47" s="21"/>
      <c r="BG47" s="21"/>
      <c r="BH47" s="21"/>
      <c r="BI47" s="21"/>
      <c r="BJ47" s="21"/>
      <c r="BK47" s="21"/>
      <c r="BL47" s="21"/>
      <c r="BM47" s="21"/>
      <c r="BN47" s="21"/>
      <c r="BO47" s="21"/>
      <c r="BP47" s="21"/>
      <c r="BQ47" s="21"/>
      <c r="BR47" s="21"/>
      <c r="BS47" s="21"/>
      <c r="BT47" s="21"/>
      <c r="BU47" s="24"/>
      <c r="BV47" s="24"/>
      <c r="BW47" s="24"/>
      <c r="BX47" s="24"/>
      <c r="BY47" s="24"/>
      <c r="BZ47" s="24"/>
      <c r="CA47" s="24"/>
      <c r="CB47" s="24"/>
      <c r="CC47" s="24"/>
      <c r="CD47" s="24"/>
      <c r="CE47" s="24"/>
      <c r="CF47" s="24"/>
      <c r="CG47" s="24"/>
      <c r="CH47" s="24"/>
      <c r="CI47" s="24"/>
      <c r="CJ47" s="24"/>
    </row>
    <row r="48" spans="2:88" ht="15" customHeight="1" x14ac:dyDescent="0.3">
      <c r="B48" s="233"/>
      <c r="C48" s="233"/>
      <c r="D48" s="233"/>
      <c r="F48" s="233"/>
      <c r="G48" s="233"/>
      <c r="H48" s="233"/>
      <c r="K48" s="234"/>
      <c r="L48" s="234"/>
      <c r="M48" s="234"/>
      <c r="N48" s="181" t="str">
        <f>IF($AQ$11=0,"Units?",IF($AQ$11=1,"ac",IF($AQ$11=2,"sq-ft","Error")))</f>
        <v>Units?</v>
      </c>
      <c r="O48" s="181"/>
      <c r="R48" s="234"/>
      <c r="S48" s="234"/>
      <c r="T48" s="234"/>
      <c r="U48" s="181" t="str">
        <f>IF($AQ$11=0,"Units?",IF($AQ$11=1,"ac",IF($AQ$11=2,"sq-ft","Error")))</f>
        <v>Units?</v>
      </c>
      <c r="V48" s="181"/>
      <c r="Y48" s="234"/>
      <c r="Z48" s="234"/>
      <c r="AA48" s="234"/>
      <c r="AB48" s="181" t="str">
        <f>IF($AQ$11=0,"Units?",IF($AQ$11=1,"ac",IF($AQ$11=2,"sq-ft","Error")))</f>
        <v>Units?</v>
      </c>
      <c r="AC48" s="181"/>
      <c r="AE48" s="55"/>
      <c r="AF48" s="26" t="s">
        <v>123</v>
      </c>
      <c r="AH48" s="55"/>
      <c r="AI48" s="26" t="s">
        <v>124</v>
      </c>
      <c r="AM48" s="89">
        <f>IF(ISBLANK(B48),1,2)</f>
        <v>1</v>
      </c>
      <c r="AN48" s="89">
        <f>IF(AND(ISBLANK(AE48),ISBLANK(AH48)),0,1)</f>
        <v>0</v>
      </c>
      <c r="AO48" s="89">
        <f>IF(AND(ISBLANK(AE48),LEN(AH48)&gt;0),2,1)</f>
        <v>1</v>
      </c>
      <c r="AP48" s="89">
        <f>IF(ISBLANK(AE48),1,IF(ISBLANK(AH48),2,3))</f>
        <v>1</v>
      </c>
      <c r="AR48" s="24"/>
      <c r="AS48" s="21"/>
      <c r="AT48" s="63"/>
      <c r="AU48" s="21"/>
      <c r="AV48" s="21"/>
      <c r="AW48" s="21"/>
      <c r="AX48" s="21"/>
      <c r="AY48" s="21"/>
      <c r="AZ48" s="21"/>
      <c r="BA48" s="21"/>
      <c r="BB48" s="21"/>
      <c r="BC48" s="21"/>
      <c r="BD48" s="21"/>
      <c r="BE48" s="21"/>
      <c r="BF48" s="21"/>
      <c r="BG48" s="21"/>
      <c r="BH48" s="21"/>
      <c r="BI48" s="21"/>
      <c r="BJ48" s="21"/>
      <c r="BK48" s="21"/>
      <c r="BL48" s="21"/>
      <c r="BM48" s="21"/>
      <c r="BN48" s="21"/>
      <c r="BO48" s="21"/>
      <c r="BP48" s="21"/>
      <c r="BQ48" s="21"/>
      <c r="BR48" s="21"/>
      <c r="BS48" s="21"/>
      <c r="BT48" s="21"/>
      <c r="BU48" s="24"/>
      <c r="BV48" s="24"/>
      <c r="BW48" s="24"/>
      <c r="BX48" s="24"/>
      <c r="BY48" s="24"/>
      <c r="BZ48" s="24"/>
      <c r="CA48" s="24"/>
      <c r="CB48" s="24"/>
      <c r="CC48" s="24"/>
      <c r="CD48" s="24"/>
      <c r="CE48" s="24"/>
      <c r="CF48" s="24"/>
      <c r="CG48" s="24"/>
      <c r="CH48" s="24"/>
      <c r="CI48" s="24"/>
      <c r="CJ48" s="24"/>
    </row>
    <row r="49" spans="2:88" ht="4.95" customHeight="1" x14ac:dyDescent="0.3">
      <c r="C49" s="4"/>
      <c r="F49" s="35"/>
      <c r="G49" s="35"/>
      <c r="K49" s="106"/>
      <c r="L49" s="106"/>
      <c r="M49" s="106"/>
      <c r="N49" s="9"/>
      <c r="O49" s="9"/>
      <c r="R49" s="106"/>
      <c r="S49" s="106"/>
      <c r="T49" s="106"/>
      <c r="U49" s="9"/>
      <c r="V49" s="9"/>
      <c r="Y49" s="106"/>
      <c r="Z49" s="106"/>
      <c r="AA49" s="106"/>
      <c r="AB49" s="9"/>
      <c r="AC49" s="9"/>
      <c r="AE49" s="107"/>
      <c r="AH49" s="107"/>
      <c r="AM49" s="20">
        <f t="shared" si="0"/>
        <v>0</v>
      </c>
      <c r="AR49" s="24"/>
      <c r="AS49" s="21"/>
      <c r="AT49" s="63"/>
      <c r="AU49" s="21"/>
      <c r="AV49" s="21"/>
      <c r="AW49" s="21"/>
      <c r="AX49" s="21"/>
      <c r="AY49" s="21"/>
      <c r="AZ49" s="21"/>
      <c r="BA49" s="21"/>
      <c r="BB49" s="21"/>
      <c r="BC49" s="21"/>
      <c r="BD49" s="21"/>
      <c r="BE49" s="21"/>
      <c r="BF49" s="21"/>
      <c r="BG49" s="21"/>
      <c r="BH49" s="21"/>
      <c r="BI49" s="21"/>
      <c r="BJ49" s="21"/>
      <c r="BK49" s="21"/>
      <c r="BL49" s="21"/>
      <c r="BM49" s="21"/>
      <c r="BN49" s="21"/>
      <c r="BO49" s="21"/>
      <c r="BP49" s="21"/>
      <c r="BQ49" s="21"/>
      <c r="BR49" s="21"/>
      <c r="BS49" s="21"/>
      <c r="BT49" s="21"/>
      <c r="BU49" s="24"/>
      <c r="BV49" s="24"/>
      <c r="BW49" s="24"/>
      <c r="BX49" s="24"/>
      <c r="BY49" s="24"/>
      <c r="BZ49" s="24"/>
      <c r="CA49" s="24"/>
      <c r="CB49" s="24"/>
      <c r="CC49" s="24"/>
      <c r="CD49" s="24"/>
      <c r="CE49" s="24"/>
      <c r="CF49" s="24"/>
      <c r="CG49" s="24"/>
      <c r="CH49" s="24"/>
      <c r="CI49" s="24"/>
      <c r="CJ49" s="24"/>
    </row>
    <row r="50" spans="2:88" ht="15" customHeight="1" x14ac:dyDescent="0.3">
      <c r="B50" s="233"/>
      <c r="C50" s="233"/>
      <c r="D50" s="233"/>
      <c r="F50" s="233"/>
      <c r="G50" s="233"/>
      <c r="H50" s="233"/>
      <c r="K50" s="234"/>
      <c r="L50" s="234"/>
      <c r="M50" s="234"/>
      <c r="N50" s="181" t="str">
        <f>IF($AQ$11=0,"Units?",IF($AQ$11=1,"ac",IF($AQ$11=2,"sq-ft","Error")))</f>
        <v>Units?</v>
      </c>
      <c r="O50" s="181"/>
      <c r="R50" s="234"/>
      <c r="S50" s="234"/>
      <c r="T50" s="234"/>
      <c r="U50" s="181" t="str">
        <f>IF($AQ$11=0,"Units?",IF($AQ$11=1,"ac",IF($AQ$11=2,"sq-ft","Error")))</f>
        <v>Units?</v>
      </c>
      <c r="V50" s="181"/>
      <c r="Y50" s="234"/>
      <c r="Z50" s="234"/>
      <c r="AA50" s="234"/>
      <c r="AB50" s="181" t="str">
        <f>IF($AQ$11=0,"Units?",IF($AQ$11=1,"ac",IF($AQ$11=2,"sq-ft","Error")))</f>
        <v>Units?</v>
      </c>
      <c r="AC50" s="181"/>
      <c r="AE50" s="55"/>
      <c r="AF50" s="26" t="s">
        <v>123</v>
      </c>
      <c r="AH50" s="55"/>
      <c r="AI50" s="26" t="s">
        <v>124</v>
      </c>
      <c r="AM50" s="89">
        <f>IF(ISBLANK(B50),1,2)</f>
        <v>1</v>
      </c>
      <c r="AN50" s="89">
        <f>IF(AND(ISBLANK(AE50),ISBLANK(AH50)),0,1)</f>
        <v>0</v>
      </c>
      <c r="AO50" s="89">
        <f>IF(AND(ISBLANK(AE50),LEN(AH50)&gt;0),2,1)</f>
        <v>1</v>
      </c>
      <c r="AP50" s="89">
        <f>IF(ISBLANK(AE50),1,IF(ISBLANK(AH50),2,3))</f>
        <v>1</v>
      </c>
      <c r="AR50" s="24"/>
      <c r="AS50" s="21"/>
      <c r="AT50" s="63"/>
      <c r="AU50" s="21"/>
      <c r="AV50" s="21"/>
      <c r="AW50" s="21"/>
      <c r="AX50" s="21"/>
      <c r="AY50" s="21"/>
      <c r="AZ50" s="21"/>
      <c r="BA50" s="21"/>
      <c r="BB50" s="21"/>
      <c r="BC50" s="21"/>
      <c r="BD50" s="21"/>
      <c r="BE50" s="21"/>
      <c r="BF50" s="21"/>
      <c r="BG50" s="21"/>
      <c r="BH50" s="21"/>
      <c r="BI50" s="21"/>
      <c r="BJ50" s="21"/>
      <c r="BK50" s="21"/>
      <c r="BL50" s="21"/>
      <c r="BM50" s="21"/>
      <c r="BN50" s="21"/>
      <c r="BO50" s="21"/>
      <c r="BP50" s="21"/>
      <c r="BQ50" s="21"/>
      <c r="BR50" s="21"/>
      <c r="BS50" s="21"/>
      <c r="BT50" s="21"/>
      <c r="BU50" s="24"/>
      <c r="BV50" s="24"/>
      <c r="BW50" s="24"/>
      <c r="BX50" s="24"/>
      <c r="BY50" s="24"/>
      <c r="BZ50" s="24"/>
      <c r="CA50" s="24"/>
      <c r="CB50" s="24"/>
      <c r="CC50" s="24"/>
      <c r="CD50" s="24"/>
      <c r="CE50" s="24"/>
      <c r="CF50" s="24"/>
      <c r="CG50" s="24"/>
      <c r="CH50" s="24"/>
      <c r="CI50" s="24"/>
      <c r="CJ50" s="24"/>
    </row>
    <row r="51" spans="2:88" ht="4.95" customHeight="1" x14ac:dyDescent="0.3">
      <c r="C51" s="4"/>
      <c r="F51" s="35"/>
      <c r="G51" s="35"/>
      <c r="K51" s="106"/>
      <c r="L51" s="106"/>
      <c r="M51" s="106"/>
      <c r="N51" s="9"/>
      <c r="O51" s="9"/>
      <c r="R51" s="106"/>
      <c r="S51" s="106"/>
      <c r="T51" s="106"/>
      <c r="U51" s="9"/>
      <c r="V51" s="9"/>
      <c r="Y51" s="106"/>
      <c r="Z51" s="106"/>
      <c r="AA51" s="106"/>
      <c r="AB51" s="9"/>
      <c r="AC51" s="9"/>
      <c r="AE51" s="107"/>
      <c r="AH51" s="107"/>
      <c r="AM51" s="20">
        <f t="shared" si="0"/>
        <v>0</v>
      </c>
      <c r="AR51" s="24"/>
      <c r="AS51" s="21"/>
      <c r="AT51" s="63"/>
      <c r="AU51" s="21"/>
      <c r="AV51" s="21"/>
      <c r="AW51" s="21"/>
      <c r="AX51" s="21"/>
      <c r="AY51" s="21"/>
      <c r="AZ51" s="21"/>
      <c r="BA51" s="21"/>
      <c r="BB51" s="21"/>
      <c r="BC51" s="21"/>
      <c r="BD51" s="21"/>
      <c r="BE51" s="21"/>
      <c r="BF51" s="21"/>
      <c r="BG51" s="21"/>
      <c r="BH51" s="21"/>
      <c r="BI51" s="21"/>
      <c r="BJ51" s="21"/>
      <c r="BK51" s="21"/>
      <c r="BL51" s="21"/>
      <c r="BM51" s="21"/>
      <c r="BN51" s="21"/>
      <c r="BO51" s="21"/>
      <c r="BP51" s="21"/>
      <c r="BQ51" s="21"/>
      <c r="BR51" s="21"/>
      <c r="BS51" s="21"/>
      <c r="BT51" s="21"/>
      <c r="BU51" s="24"/>
      <c r="BV51" s="24"/>
      <c r="BW51" s="24"/>
      <c r="BX51" s="24"/>
      <c r="BY51" s="24"/>
      <c r="BZ51" s="24"/>
      <c r="CA51" s="24"/>
      <c r="CB51" s="24"/>
      <c r="CC51" s="24"/>
      <c r="CD51" s="24"/>
      <c r="CE51" s="24"/>
      <c r="CF51" s="24"/>
      <c r="CG51" s="24"/>
      <c r="CH51" s="24"/>
      <c r="CI51" s="24"/>
      <c r="CJ51" s="24"/>
    </row>
    <row r="52" spans="2:88" ht="15" customHeight="1" x14ac:dyDescent="0.3">
      <c r="B52" s="233"/>
      <c r="C52" s="233"/>
      <c r="D52" s="233"/>
      <c r="F52" s="233"/>
      <c r="G52" s="233"/>
      <c r="H52" s="233"/>
      <c r="K52" s="234"/>
      <c r="L52" s="234"/>
      <c r="M52" s="234"/>
      <c r="N52" s="181" t="str">
        <f>IF($AQ$11=0,"Units?",IF($AQ$11=1,"ac",IF($AQ$11=2,"sq-ft","Error")))</f>
        <v>Units?</v>
      </c>
      <c r="O52" s="181"/>
      <c r="R52" s="234"/>
      <c r="S52" s="234"/>
      <c r="T52" s="234"/>
      <c r="U52" s="181" t="str">
        <f>IF($AQ$11=0,"Units?",IF($AQ$11=1,"ac",IF($AQ$11=2,"sq-ft","Error")))</f>
        <v>Units?</v>
      </c>
      <c r="V52" s="181"/>
      <c r="Y52" s="234"/>
      <c r="Z52" s="234"/>
      <c r="AA52" s="234"/>
      <c r="AB52" s="181" t="str">
        <f>IF($AQ$11=0,"Units?",IF($AQ$11=1,"ac",IF($AQ$11=2,"sq-ft","Error")))</f>
        <v>Units?</v>
      </c>
      <c r="AC52" s="181"/>
      <c r="AE52" s="55"/>
      <c r="AF52" s="26" t="s">
        <v>123</v>
      </c>
      <c r="AH52" s="55"/>
      <c r="AI52" s="26" t="s">
        <v>124</v>
      </c>
      <c r="AM52" s="89">
        <f>IF(ISBLANK(B52),1,2)</f>
        <v>1</v>
      </c>
      <c r="AN52" s="89">
        <f>IF(AND(ISBLANK(AE52),ISBLANK(AH52)),0,1)</f>
        <v>0</v>
      </c>
      <c r="AO52" s="89">
        <f>IF(AND(ISBLANK(AE52),LEN(AH52)&gt;0),2,1)</f>
        <v>1</v>
      </c>
      <c r="AP52" s="89">
        <f>IF(ISBLANK(AE52),1,IF(ISBLANK(AH52),2,3))</f>
        <v>1</v>
      </c>
      <c r="AR52" s="24"/>
      <c r="AS52" s="21"/>
      <c r="AT52" s="63"/>
      <c r="AU52" s="21"/>
      <c r="AV52" s="21"/>
      <c r="AW52" s="21"/>
      <c r="AX52" s="21"/>
      <c r="AY52" s="21"/>
      <c r="AZ52" s="21"/>
      <c r="BA52" s="21"/>
      <c r="BB52" s="21"/>
      <c r="BC52" s="21"/>
      <c r="BD52" s="21"/>
      <c r="BE52" s="21"/>
      <c r="BF52" s="21"/>
      <c r="BG52" s="21"/>
      <c r="BH52" s="21"/>
      <c r="BI52" s="21"/>
      <c r="BJ52" s="21"/>
      <c r="BK52" s="21"/>
      <c r="BL52" s="21"/>
      <c r="BM52" s="21"/>
      <c r="BN52" s="21"/>
      <c r="BO52" s="21"/>
      <c r="BP52" s="21"/>
      <c r="BQ52" s="21"/>
      <c r="BR52" s="21"/>
      <c r="BS52" s="21"/>
      <c r="BT52" s="21"/>
      <c r="BU52" s="24"/>
      <c r="BV52" s="24"/>
      <c r="BW52" s="24"/>
      <c r="BX52" s="24"/>
      <c r="BY52" s="24"/>
      <c r="BZ52" s="24"/>
      <c r="CA52" s="24"/>
      <c r="CB52" s="24"/>
      <c r="CC52" s="24"/>
      <c r="CD52" s="24"/>
      <c r="CE52" s="24"/>
      <c r="CF52" s="24"/>
      <c r="CG52" s="24"/>
      <c r="CH52" s="24"/>
      <c r="CI52" s="24"/>
      <c r="CJ52" s="24"/>
    </row>
    <row r="53" spans="2:88" ht="4.95" customHeight="1" x14ac:dyDescent="0.3">
      <c r="AR53" s="24"/>
      <c r="AS53" s="21"/>
      <c r="AT53" s="63"/>
      <c r="AU53" s="21"/>
      <c r="AV53" s="21"/>
      <c r="AW53" s="21"/>
      <c r="AX53" s="21"/>
      <c r="AY53" s="21"/>
      <c r="AZ53" s="21"/>
      <c r="BA53" s="21"/>
      <c r="BB53" s="21"/>
      <c r="BC53" s="21"/>
      <c r="BD53" s="21"/>
      <c r="BE53" s="21"/>
      <c r="BF53" s="21"/>
      <c r="BG53" s="21"/>
      <c r="BH53" s="21"/>
      <c r="BI53" s="21"/>
      <c r="BJ53" s="21"/>
      <c r="BK53" s="21"/>
      <c r="BL53" s="21"/>
      <c r="BM53" s="21"/>
      <c r="BN53" s="21"/>
      <c r="BO53" s="21"/>
      <c r="BP53" s="21"/>
      <c r="BQ53" s="21"/>
      <c r="BR53" s="21"/>
      <c r="BS53" s="21"/>
      <c r="BT53" s="21"/>
      <c r="BU53" s="24"/>
      <c r="BV53" s="24"/>
      <c r="BW53" s="24"/>
      <c r="BX53" s="24"/>
      <c r="BY53" s="24"/>
      <c r="BZ53" s="24"/>
      <c r="CA53" s="24"/>
      <c r="CB53" s="24"/>
      <c r="CC53" s="24"/>
      <c r="CD53" s="24"/>
      <c r="CE53" s="24"/>
      <c r="CF53" s="24"/>
      <c r="CG53" s="24"/>
      <c r="CH53" s="24"/>
      <c r="CI53" s="24"/>
      <c r="CJ53" s="24"/>
    </row>
    <row r="54" spans="2:88" ht="15" customHeight="1" x14ac:dyDescent="0.3">
      <c r="J54" s="2" t="s">
        <v>319</v>
      </c>
      <c r="K54" s="236">
        <f>SUM(K24:M52)</f>
        <v>0</v>
      </c>
      <c r="L54" s="236"/>
      <c r="M54" s="236"/>
      <c r="N54" s="181" t="str">
        <f>IF($AQ$11=0,"Units?",IF($AQ$11=1,"ac",IF($AQ$11=2,"sq-ft","Error")))</f>
        <v>Units?</v>
      </c>
      <c r="O54" s="181"/>
      <c r="Q54" s="2" t="s">
        <v>319</v>
      </c>
      <c r="R54" s="237">
        <f>IF(ISERR(SUM(R24:T52)),0,SUM(R24:T52))</f>
        <v>0</v>
      </c>
      <c r="S54" s="237"/>
      <c r="T54" s="237"/>
      <c r="U54" s="181" t="str">
        <f>IF($AQ$11=0,"Units?",IF($AQ$11=1,"ac",IF($AQ$11=2,"sq-ft","Error")))</f>
        <v>Units?</v>
      </c>
      <c r="V54" s="181"/>
      <c r="X54" s="2" t="s">
        <v>319</v>
      </c>
      <c r="Y54" s="237">
        <f>IF(ISERR(SUM(Y24:AA52)),0,SUM(Y24:AA52))</f>
        <v>0</v>
      </c>
      <c r="Z54" s="237"/>
      <c r="AA54" s="237"/>
      <c r="AB54" s="181" t="str">
        <f>IF($AQ$11=0,"Units?",IF($AQ$11=1,"ac",IF($AQ$11=2,"sq-ft","Error")))</f>
        <v>Units?</v>
      </c>
      <c r="AC54" s="181"/>
      <c r="AR54" s="24"/>
      <c r="AS54" s="21"/>
      <c r="AT54" s="63"/>
      <c r="AU54" s="21"/>
      <c r="AV54" s="21"/>
      <c r="AW54" s="21"/>
      <c r="AX54" s="21"/>
      <c r="AY54" s="21"/>
      <c r="AZ54" s="21"/>
      <c r="BA54" s="21"/>
      <c r="BB54" s="21"/>
      <c r="BC54" s="21"/>
      <c r="BD54" s="21"/>
      <c r="BE54" s="21"/>
      <c r="BF54" s="21"/>
      <c r="BG54" s="21"/>
      <c r="BH54" s="21"/>
      <c r="BI54" s="21"/>
      <c r="BJ54" s="21"/>
      <c r="BK54" s="21"/>
      <c r="BL54" s="21"/>
      <c r="BM54" s="21"/>
      <c r="BN54" s="21"/>
      <c r="BO54" s="21"/>
      <c r="BP54" s="21"/>
      <c r="BQ54" s="21"/>
      <c r="BR54" s="21"/>
      <c r="BS54" s="21"/>
      <c r="BT54" s="21"/>
      <c r="BU54" s="24"/>
      <c r="BV54" s="24"/>
      <c r="BW54" s="24"/>
      <c r="BX54" s="24"/>
      <c r="BY54" s="24"/>
      <c r="BZ54" s="24"/>
      <c r="CA54" s="24"/>
      <c r="CB54" s="24"/>
      <c r="CC54" s="24"/>
      <c r="CD54" s="24"/>
      <c r="CE54" s="24"/>
      <c r="CF54" s="24"/>
      <c r="CG54" s="24"/>
      <c r="CH54" s="24"/>
      <c r="CI54" s="24"/>
      <c r="CJ54" s="24"/>
    </row>
    <row r="55" spans="2:88" ht="15" customHeight="1" x14ac:dyDescent="0.3">
      <c r="R55" s="235">
        <f>IF(ISERR(R54/$K54),0,R54/$K54*100)</f>
        <v>0</v>
      </c>
      <c r="S55" s="235"/>
      <c r="T55" s="235"/>
      <c r="U55" s="26" t="s">
        <v>217</v>
      </c>
      <c r="Y55" s="235">
        <f>IF(ISERR(Y54/$K54),0,Y54/$K54*100)</f>
        <v>0</v>
      </c>
      <c r="Z55" s="235"/>
      <c r="AA55" s="235"/>
      <c r="AB55" s="26" t="s">
        <v>217</v>
      </c>
      <c r="AR55" s="24"/>
      <c r="AS55" s="21"/>
      <c r="AT55" s="63"/>
      <c r="AU55" s="21"/>
      <c r="AV55" s="21"/>
      <c r="AW55" s="21"/>
      <c r="AX55" s="21"/>
      <c r="AY55" s="21"/>
      <c r="AZ55" s="21"/>
      <c r="BA55" s="21"/>
      <c r="BB55" s="21"/>
      <c r="BC55" s="21"/>
      <c r="BD55" s="21"/>
      <c r="BE55" s="21"/>
      <c r="BF55" s="21"/>
      <c r="BG55" s="21"/>
      <c r="BH55" s="21"/>
      <c r="BI55" s="21"/>
      <c r="BJ55" s="21"/>
      <c r="BK55" s="21"/>
      <c r="BL55" s="21"/>
      <c r="BM55" s="21"/>
      <c r="BN55" s="21"/>
      <c r="BO55" s="21"/>
      <c r="BP55" s="21"/>
      <c r="BQ55" s="21"/>
      <c r="BR55" s="21"/>
      <c r="BS55" s="21"/>
      <c r="BT55" s="21"/>
      <c r="BU55" s="24"/>
      <c r="BV55" s="24"/>
      <c r="BW55" s="24"/>
      <c r="BX55" s="24"/>
      <c r="BY55" s="24"/>
      <c r="BZ55" s="24"/>
      <c r="CA55" s="24"/>
      <c r="CB55" s="24"/>
      <c r="CC55" s="24"/>
      <c r="CD55" s="24"/>
      <c r="CE55" s="24"/>
      <c r="CF55" s="24"/>
      <c r="CG55" s="24"/>
      <c r="CH55" s="24"/>
      <c r="CI55" s="24"/>
      <c r="CJ55" s="24"/>
    </row>
    <row r="56" spans="2:88" ht="15" customHeight="1" x14ac:dyDescent="0.3">
      <c r="AR56" s="24"/>
      <c r="AS56" s="21"/>
      <c r="AT56" s="63"/>
      <c r="AU56" s="21"/>
      <c r="AV56" s="21"/>
      <c r="AW56" s="21"/>
      <c r="AX56" s="21"/>
      <c r="AY56" s="21"/>
      <c r="AZ56" s="21"/>
      <c r="BA56" s="21"/>
      <c r="BB56" s="21"/>
      <c r="BC56" s="21"/>
      <c r="BD56" s="21"/>
      <c r="BE56" s="21"/>
      <c r="BF56" s="21"/>
      <c r="BG56" s="21"/>
      <c r="BH56" s="21"/>
      <c r="BI56" s="21"/>
      <c r="BJ56" s="21"/>
      <c r="BK56" s="21"/>
      <c r="BL56" s="21"/>
      <c r="BM56" s="21"/>
      <c r="BN56" s="21"/>
      <c r="BO56" s="21"/>
      <c r="BP56" s="21"/>
      <c r="BQ56" s="21"/>
      <c r="BR56" s="21"/>
      <c r="BS56" s="21"/>
      <c r="BT56" s="21"/>
      <c r="BU56" s="24"/>
      <c r="BV56" s="24"/>
      <c r="BW56" s="24"/>
      <c r="BX56" s="24"/>
      <c r="BY56" s="24"/>
      <c r="BZ56" s="24"/>
      <c r="CA56" s="24"/>
      <c r="CB56" s="24"/>
      <c r="CC56" s="24"/>
      <c r="CD56" s="24"/>
      <c r="CE56" s="24"/>
      <c r="CF56" s="24"/>
      <c r="CG56" s="24"/>
      <c r="CH56" s="24"/>
      <c r="CI56" s="24"/>
      <c r="CJ56" s="24"/>
    </row>
    <row r="57" spans="2:88" ht="15" customHeight="1" x14ac:dyDescent="0.3">
      <c r="AR57" s="24"/>
      <c r="AS57" s="21"/>
      <c r="AT57" s="63"/>
      <c r="AU57" s="21"/>
      <c r="AV57" s="21"/>
      <c r="AW57" s="21"/>
      <c r="AX57" s="21"/>
      <c r="AY57" s="21"/>
      <c r="AZ57" s="21"/>
      <c r="BA57" s="21"/>
      <c r="BB57" s="21"/>
      <c r="BC57" s="21"/>
      <c r="BD57" s="21"/>
      <c r="BE57" s="21"/>
      <c r="BF57" s="21"/>
      <c r="BG57" s="21"/>
      <c r="BH57" s="21"/>
      <c r="BI57" s="21"/>
      <c r="BJ57" s="21"/>
      <c r="BK57" s="21"/>
      <c r="BL57" s="21"/>
      <c r="BM57" s="21"/>
      <c r="BN57" s="21"/>
      <c r="BO57" s="21"/>
      <c r="BP57" s="21"/>
      <c r="BQ57" s="21"/>
      <c r="BR57" s="21"/>
      <c r="BS57" s="21"/>
      <c r="BT57" s="21"/>
      <c r="BU57" s="24"/>
      <c r="BV57" s="24"/>
      <c r="BW57" s="24"/>
      <c r="BX57" s="24"/>
      <c r="BY57" s="24"/>
      <c r="BZ57" s="24"/>
      <c r="CA57" s="24"/>
      <c r="CB57" s="24"/>
      <c r="CC57" s="24"/>
      <c r="CD57" s="24"/>
      <c r="CE57" s="24"/>
      <c r="CF57" s="24"/>
      <c r="CG57" s="24"/>
      <c r="CH57" s="24"/>
      <c r="CI57" s="24"/>
      <c r="CJ57" s="24"/>
    </row>
    <row r="58" spans="2:88" ht="15" customHeight="1" x14ac:dyDescent="0.3">
      <c r="AR58" s="24"/>
      <c r="AS58" s="21"/>
      <c r="AT58" s="63"/>
      <c r="AU58" s="21"/>
      <c r="AV58" s="21"/>
      <c r="AW58" s="21"/>
      <c r="AX58" s="21"/>
      <c r="AY58" s="21"/>
      <c r="AZ58" s="21"/>
      <c r="BA58" s="21"/>
      <c r="BB58" s="21"/>
      <c r="BC58" s="21"/>
      <c r="BD58" s="21"/>
      <c r="BE58" s="21"/>
      <c r="BF58" s="21"/>
      <c r="BG58" s="21"/>
      <c r="BH58" s="21"/>
      <c r="BI58" s="21"/>
      <c r="BJ58" s="21"/>
      <c r="BK58" s="21"/>
      <c r="BL58" s="21"/>
      <c r="BM58" s="21"/>
      <c r="BN58" s="21"/>
      <c r="BO58" s="21"/>
      <c r="BP58" s="21"/>
      <c r="BQ58" s="21"/>
      <c r="BR58" s="21"/>
      <c r="BS58" s="21"/>
      <c r="BT58" s="21"/>
      <c r="BU58" s="24"/>
      <c r="BV58" s="24"/>
      <c r="BW58" s="24"/>
      <c r="BX58" s="24"/>
      <c r="BY58" s="24"/>
      <c r="BZ58" s="24"/>
      <c r="CA58" s="24"/>
      <c r="CB58" s="24"/>
      <c r="CC58" s="24"/>
      <c r="CD58" s="24"/>
      <c r="CE58" s="24"/>
      <c r="CF58" s="24"/>
      <c r="CG58" s="24"/>
      <c r="CH58" s="24"/>
      <c r="CI58" s="24"/>
      <c r="CJ58" s="24"/>
    </row>
    <row r="59" spans="2:88" ht="15" customHeight="1" x14ac:dyDescent="0.3">
      <c r="AR59" s="24"/>
      <c r="AS59" s="21"/>
      <c r="AT59" s="63"/>
      <c r="AU59" s="21"/>
      <c r="AV59" s="21"/>
      <c r="AW59" s="21"/>
      <c r="AX59" s="21"/>
      <c r="AY59" s="21"/>
      <c r="AZ59" s="21"/>
      <c r="BA59" s="21"/>
      <c r="BB59" s="21"/>
      <c r="BC59" s="21"/>
      <c r="BD59" s="21"/>
      <c r="BE59" s="21"/>
      <c r="BF59" s="21"/>
      <c r="BG59" s="21"/>
      <c r="BH59" s="21"/>
      <c r="BI59" s="21"/>
      <c r="BJ59" s="21"/>
      <c r="BK59" s="21"/>
      <c r="BL59" s="21"/>
      <c r="BM59" s="21"/>
      <c r="BN59" s="21"/>
      <c r="BO59" s="21"/>
      <c r="BP59" s="21"/>
      <c r="BQ59" s="21"/>
      <c r="BR59" s="21"/>
      <c r="BS59" s="21"/>
      <c r="BT59" s="21"/>
      <c r="BU59" s="24"/>
      <c r="BV59" s="24"/>
      <c r="BW59" s="24"/>
      <c r="BX59" s="24"/>
      <c r="BY59" s="24"/>
      <c r="BZ59" s="24"/>
      <c r="CA59" s="24"/>
      <c r="CB59" s="24"/>
      <c r="CC59" s="24"/>
      <c r="CD59" s="24"/>
      <c r="CE59" s="24"/>
      <c r="CF59" s="24"/>
      <c r="CG59" s="24"/>
      <c r="CH59" s="24"/>
      <c r="CI59" s="24"/>
      <c r="CJ59" s="24"/>
    </row>
    <row r="60" spans="2:88" ht="15" customHeight="1" x14ac:dyDescent="0.3">
      <c r="AR60" s="24"/>
      <c r="AS60" s="21"/>
      <c r="AT60" s="63"/>
      <c r="AU60" s="21"/>
      <c r="AV60" s="21"/>
      <c r="AW60" s="21"/>
      <c r="AX60" s="21"/>
      <c r="AY60" s="21"/>
      <c r="AZ60" s="21"/>
      <c r="BA60" s="21"/>
      <c r="BB60" s="21"/>
      <c r="BC60" s="21"/>
      <c r="BD60" s="21"/>
      <c r="BE60" s="21"/>
      <c r="BF60" s="21"/>
      <c r="BG60" s="21"/>
      <c r="BH60" s="21"/>
      <c r="BI60" s="21"/>
      <c r="BJ60" s="21"/>
      <c r="BK60" s="21"/>
      <c r="BL60" s="21"/>
      <c r="BM60" s="21"/>
      <c r="BN60" s="21"/>
      <c r="BO60" s="21"/>
      <c r="BP60" s="21"/>
      <c r="BQ60" s="21"/>
      <c r="BR60" s="21"/>
      <c r="BS60" s="21"/>
      <c r="BT60" s="21"/>
      <c r="BU60" s="24"/>
      <c r="BV60" s="24"/>
      <c r="BW60" s="24"/>
      <c r="BX60" s="24"/>
      <c r="BY60" s="24"/>
      <c r="BZ60" s="24"/>
      <c r="CA60" s="24"/>
      <c r="CB60" s="24"/>
      <c r="CC60" s="24"/>
      <c r="CD60" s="24"/>
      <c r="CE60" s="24"/>
      <c r="CF60" s="24"/>
      <c r="CG60" s="24"/>
      <c r="CH60" s="24"/>
      <c r="CI60" s="24"/>
      <c r="CJ60" s="24"/>
    </row>
    <row r="61" spans="2:88" ht="15" customHeight="1" x14ac:dyDescent="0.3">
      <c r="AR61" s="24"/>
      <c r="AS61" s="21"/>
      <c r="AT61" s="63"/>
      <c r="AU61" s="21"/>
      <c r="AV61" s="21"/>
      <c r="AW61" s="21"/>
      <c r="AX61" s="21"/>
      <c r="AY61" s="21"/>
      <c r="AZ61" s="21"/>
      <c r="BA61" s="21"/>
      <c r="BB61" s="21"/>
      <c r="BC61" s="21"/>
      <c r="BD61" s="21"/>
      <c r="BE61" s="21"/>
      <c r="BF61" s="21"/>
      <c r="BG61" s="21"/>
      <c r="BH61" s="21"/>
      <c r="BI61" s="21"/>
      <c r="BJ61" s="21"/>
      <c r="BK61" s="21"/>
      <c r="BL61" s="21"/>
      <c r="BM61" s="21"/>
      <c r="BN61" s="21"/>
      <c r="BO61" s="21"/>
      <c r="BP61" s="21"/>
      <c r="BQ61" s="21"/>
      <c r="BR61" s="21"/>
      <c r="BS61" s="21"/>
      <c r="BT61" s="21"/>
      <c r="BU61" s="24"/>
      <c r="BV61" s="24"/>
      <c r="BW61" s="24"/>
      <c r="BX61" s="24"/>
      <c r="BY61" s="24"/>
      <c r="BZ61" s="24"/>
      <c r="CA61" s="24"/>
      <c r="CB61" s="24"/>
      <c r="CC61" s="24"/>
      <c r="CD61" s="24"/>
      <c r="CE61" s="24"/>
      <c r="CF61" s="24"/>
      <c r="CG61" s="24"/>
      <c r="CH61" s="24"/>
      <c r="CI61" s="24"/>
      <c r="CJ61" s="24"/>
    </row>
    <row r="62" spans="2:88" ht="15" customHeight="1" x14ac:dyDescent="0.3">
      <c r="AR62" s="24"/>
      <c r="AS62" s="21"/>
      <c r="AT62" s="63"/>
      <c r="AU62" s="21"/>
      <c r="AV62" s="21"/>
      <c r="AW62" s="21"/>
      <c r="AX62" s="21"/>
      <c r="AY62" s="21"/>
      <c r="AZ62" s="21"/>
      <c r="BA62" s="21"/>
      <c r="BB62" s="21"/>
      <c r="BC62" s="21"/>
      <c r="BD62" s="21"/>
      <c r="BE62" s="21"/>
      <c r="BF62" s="21"/>
      <c r="BG62" s="21"/>
      <c r="BH62" s="21"/>
      <c r="BI62" s="21"/>
      <c r="BJ62" s="21"/>
      <c r="BK62" s="21"/>
      <c r="BL62" s="21"/>
      <c r="BM62" s="21"/>
      <c r="BN62" s="21"/>
      <c r="BO62" s="21"/>
      <c r="BP62" s="21"/>
      <c r="BQ62" s="21"/>
      <c r="BR62" s="21"/>
      <c r="BS62" s="21"/>
      <c r="BT62" s="21"/>
      <c r="BU62" s="24"/>
      <c r="BV62" s="24"/>
      <c r="BW62" s="24"/>
      <c r="BX62" s="24"/>
      <c r="BY62" s="24"/>
      <c r="BZ62" s="24"/>
      <c r="CA62" s="24"/>
      <c r="CB62" s="24"/>
      <c r="CC62" s="24"/>
      <c r="CD62" s="24"/>
      <c r="CE62" s="24"/>
      <c r="CF62" s="24"/>
      <c r="CG62" s="24"/>
      <c r="CH62" s="24"/>
      <c r="CI62" s="24"/>
      <c r="CJ62" s="24"/>
    </row>
    <row r="63" spans="2:88" ht="15" customHeight="1" x14ac:dyDescent="0.3">
      <c r="B63" s="194">
        <f>Tables!F13</f>
        <v>45931</v>
      </c>
      <c r="C63" s="194"/>
      <c r="D63" s="194"/>
      <c r="E63" s="194"/>
      <c r="F63" s="194"/>
      <c r="G63" s="194"/>
      <c r="H63" s="194"/>
      <c r="R63" s="195" t="s">
        <v>320</v>
      </c>
      <c r="S63" s="195"/>
      <c r="T63" s="195"/>
      <c r="U63" s="195"/>
      <c r="AR63" s="24"/>
      <c r="AS63" s="21"/>
      <c r="AT63" s="63"/>
      <c r="AU63" s="21"/>
      <c r="AV63" s="21"/>
      <c r="AW63" s="21"/>
      <c r="AX63" s="21"/>
      <c r="AY63" s="21"/>
      <c r="AZ63" s="21"/>
      <c r="BA63" s="21"/>
      <c r="BB63" s="21"/>
      <c r="BC63" s="21"/>
      <c r="BD63" s="21"/>
      <c r="BE63" s="21"/>
      <c r="BF63" s="21"/>
      <c r="BG63" s="21"/>
      <c r="BH63" s="21"/>
      <c r="BI63" s="21"/>
      <c r="BJ63" s="21"/>
      <c r="BK63" s="21"/>
      <c r="BL63" s="21"/>
      <c r="BM63" s="21"/>
      <c r="BN63" s="21"/>
      <c r="BO63" s="21"/>
      <c r="BP63" s="21"/>
      <c r="BQ63" s="21"/>
      <c r="BR63" s="21"/>
      <c r="BS63" s="21"/>
      <c r="BT63" s="21"/>
      <c r="BU63" s="24"/>
      <c r="BV63" s="24"/>
      <c r="BW63" s="24"/>
      <c r="BX63" s="24"/>
      <c r="BY63" s="24"/>
      <c r="BZ63" s="24"/>
      <c r="CA63" s="24"/>
      <c r="CB63" s="24"/>
      <c r="CC63" s="24"/>
      <c r="CD63" s="24"/>
      <c r="CE63" s="24"/>
      <c r="CF63" s="24"/>
      <c r="CG63" s="24"/>
      <c r="CH63" s="24"/>
      <c r="CI63" s="24"/>
      <c r="CJ63" s="24"/>
    </row>
    <row r="64" spans="2:88" ht="15" customHeight="1" x14ac:dyDescent="0.3">
      <c r="C64" s="2" t="s">
        <v>132</v>
      </c>
      <c r="D64" s="192">
        <f>IF(ISBLANK($E$7),0,$E$7)</f>
        <v>0</v>
      </c>
      <c r="E64" s="192"/>
      <c r="F64" s="192"/>
      <c r="G64" s="192"/>
      <c r="H64" s="192"/>
      <c r="I64" s="192"/>
      <c r="J64" s="192"/>
      <c r="K64" s="192"/>
      <c r="L64" s="192"/>
      <c r="M64" s="192"/>
      <c r="N64" s="192"/>
      <c r="O64" s="192"/>
      <c r="P64" s="192"/>
      <c r="Q64" s="192"/>
      <c r="R64" s="192"/>
      <c r="S64" s="192"/>
      <c r="T64" s="192"/>
      <c r="U64" s="192"/>
      <c r="V64" s="192"/>
      <c r="W64" s="192"/>
      <c r="X64" s="192"/>
      <c r="Y64" s="192"/>
      <c r="AD64" s="2" t="s">
        <v>168</v>
      </c>
      <c r="AE64" s="217">
        <f>IF(ISBLANK($AE$7),0,$AE$7)</f>
        <v>0</v>
      </c>
      <c r="AF64" s="217"/>
      <c r="AG64" s="217"/>
      <c r="AH64" s="217"/>
      <c r="AI64" s="217"/>
      <c r="AJ64" s="217"/>
      <c r="AR64" s="24"/>
      <c r="AS64" s="21"/>
      <c r="AT64" s="63"/>
      <c r="AU64" s="21"/>
      <c r="AV64" s="21"/>
      <c r="AW64" s="21"/>
      <c r="AX64" s="21"/>
      <c r="AY64" s="21"/>
      <c r="AZ64" s="21"/>
      <c r="BA64" s="21"/>
      <c r="BB64" s="21"/>
      <c r="BC64" s="21"/>
      <c r="BD64" s="21"/>
      <c r="BE64" s="21"/>
      <c r="BF64" s="21"/>
      <c r="BG64" s="21"/>
      <c r="BH64" s="21"/>
      <c r="BI64" s="21"/>
      <c r="BJ64" s="21"/>
      <c r="BK64" s="21"/>
      <c r="BL64" s="21"/>
      <c r="BM64" s="21"/>
      <c r="BN64" s="21"/>
      <c r="BO64" s="21"/>
      <c r="BP64" s="21"/>
      <c r="BQ64" s="21"/>
      <c r="BR64" s="21"/>
      <c r="BS64" s="21"/>
      <c r="BT64" s="21"/>
      <c r="BU64" s="24"/>
      <c r="BV64" s="24"/>
      <c r="BW64" s="24"/>
      <c r="BX64" s="24"/>
      <c r="BY64" s="24"/>
      <c r="BZ64" s="24"/>
      <c r="CA64" s="24"/>
      <c r="CB64" s="24"/>
      <c r="CC64" s="24"/>
      <c r="CD64" s="24"/>
      <c r="CE64" s="24"/>
      <c r="CF64" s="24"/>
      <c r="CG64" s="24"/>
      <c r="CH64" s="24"/>
      <c r="CI64" s="24"/>
      <c r="CJ64" s="24"/>
    </row>
    <row r="65" spans="2:88" ht="15" customHeight="1" x14ac:dyDescent="0.3">
      <c r="B65" s="5"/>
      <c r="AR65" s="24"/>
      <c r="AS65" s="21"/>
      <c r="AT65" s="63"/>
      <c r="AU65" s="21"/>
      <c r="AV65" s="21"/>
      <c r="AW65" s="21"/>
      <c r="AX65" s="21"/>
      <c r="AY65" s="21"/>
      <c r="AZ65" s="21"/>
      <c r="BA65" s="21"/>
      <c r="BB65" s="21"/>
      <c r="BC65" s="21"/>
      <c r="BD65" s="21"/>
      <c r="BE65" s="21"/>
      <c r="BF65" s="21"/>
      <c r="BG65" s="21"/>
      <c r="BH65" s="21"/>
      <c r="BI65" s="21"/>
      <c r="BJ65" s="21"/>
      <c r="BK65" s="21"/>
      <c r="BL65" s="21"/>
      <c r="BM65" s="21"/>
      <c r="BN65" s="21"/>
      <c r="BO65" s="21"/>
      <c r="BP65" s="21"/>
      <c r="BQ65" s="21"/>
      <c r="BR65" s="21"/>
      <c r="BS65" s="21"/>
      <c r="BT65" s="21"/>
      <c r="BU65" s="24"/>
      <c r="BV65" s="24"/>
      <c r="BW65" s="24"/>
      <c r="BX65" s="24"/>
      <c r="BY65" s="24"/>
      <c r="BZ65" s="24"/>
      <c r="CA65" s="24"/>
      <c r="CB65" s="24"/>
      <c r="CC65" s="24"/>
      <c r="CD65" s="24"/>
      <c r="CE65" s="24"/>
      <c r="CF65" s="24"/>
      <c r="CG65" s="24"/>
      <c r="CH65" s="24"/>
      <c r="CI65" s="24"/>
      <c r="CJ65" s="24"/>
    </row>
    <row r="66" spans="2:88" ht="15" customHeight="1" x14ac:dyDescent="0.3">
      <c r="B66" s="5" t="s">
        <v>22</v>
      </c>
      <c r="AR66" s="24"/>
      <c r="AS66" s="21"/>
      <c r="AT66" s="63"/>
      <c r="AU66" s="21"/>
      <c r="AV66" s="21"/>
      <c r="AW66" s="21"/>
      <c r="AX66" s="21"/>
      <c r="AY66" s="21"/>
      <c r="AZ66" s="21"/>
      <c r="BA66" s="21"/>
      <c r="BB66" s="21"/>
      <c r="BC66" s="21"/>
      <c r="BD66" s="21"/>
      <c r="BE66" s="21"/>
      <c r="BF66" s="21"/>
      <c r="BG66" s="21"/>
      <c r="BH66" s="21"/>
      <c r="BI66" s="21"/>
      <c r="BJ66" s="21"/>
      <c r="BK66" s="21"/>
      <c r="BL66" s="21"/>
      <c r="BM66" s="21"/>
      <c r="BN66" s="21"/>
      <c r="BO66" s="21"/>
      <c r="BP66" s="21"/>
      <c r="BQ66" s="21"/>
      <c r="BR66" s="21"/>
      <c r="BS66" s="21"/>
      <c r="BT66" s="21"/>
      <c r="BU66" s="24"/>
      <c r="BV66" s="24"/>
      <c r="BW66" s="24"/>
      <c r="BX66" s="24"/>
      <c r="BY66" s="24"/>
      <c r="BZ66" s="24"/>
      <c r="CA66" s="24"/>
      <c r="CB66" s="24"/>
      <c r="CC66" s="24"/>
      <c r="CD66" s="24"/>
      <c r="CE66" s="24"/>
      <c r="CF66" s="24"/>
      <c r="CG66" s="24"/>
      <c r="CH66" s="24"/>
      <c r="CI66" s="24"/>
      <c r="CJ66" s="24"/>
    </row>
    <row r="67" spans="2:88" ht="15" customHeight="1" x14ac:dyDescent="0.3">
      <c r="B67" s="199"/>
      <c r="C67" s="200"/>
      <c r="D67" s="200"/>
      <c r="E67" s="200"/>
      <c r="F67" s="200"/>
      <c r="G67" s="200"/>
      <c r="H67" s="200"/>
      <c r="I67" s="200"/>
      <c r="J67" s="200"/>
      <c r="K67" s="200"/>
      <c r="L67" s="200"/>
      <c r="M67" s="200"/>
      <c r="N67" s="200"/>
      <c r="O67" s="200"/>
      <c r="P67" s="200"/>
      <c r="Q67" s="200"/>
      <c r="R67" s="200"/>
      <c r="S67" s="200"/>
      <c r="T67" s="200"/>
      <c r="U67" s="200"/>
      <c r="V67" s="200"/>
      <c r="W67" s="200"/>
      <c r="X67" s="200"/>
      <c r="Y67" s="200"/>
      <c r="Z67" s="200"/>
      <c r="AA67" s="200"/>
      <c r="AB67" s="200"/>
      <c r="AC67" s="200"/>
      <c r="AD67" s="200"/>
      <c r="AE67" s="200"/>
      <c r="AF67" s="200"/>
      <c r="AG67" s="200"/>
      <c r="AH67" s="200"/>
      <c r="AI67" s="200"/>
      <c r="AJ67" s="201"/>
      <c r="AM67" s="89">
        <f>IF(SUM(AO15,AO16,AO18,AO20)&gt;0,2,1)</f>
        <v>1</v>
      </c>
      <c r="AR67" s="24"/>
      <c r="AS67" s="21"/>
      <c r="AT67" s="63"/>
      <c r="AU67" s="21"/>
      <c r="AV67" s="21"/>
      <c r="AW67" s="21"/>
      <c r="AX67" s="21"/>
      <c r="AY67" s="21"/>
      <c r="AZ67" s="21"/>
      <c r="BA67" s="21"/>
      <c r="BB67" s="21"/>
      <c r="BC67" s="21"/>
      <c r="BD67" s="21"/>
      <c r="BE67" s="21"/>
      <c r="BF67" s="21"/>
      <c r="BG67" s="21"/>
      <c r="BH67" s="21"/>
      <c r="BI67" s="21"/>
      <c r="BJ67" s="21"/>
      <c r="BK67" s="21"/>
      <c r="BL67" s="21"/>
      <c r="BM67" s="21"/>
      <c r="BN67" s="21"/>
      <c r="BO67" s="21"/>
      <c r="BP67" s="21"/>
      <c r="BQ67" s="21"/>
      <c r="BR67" s="21"/>
      <c r="BS67" s="21"/>
      <c r="BT67" s="21"/>
      <c r="BU67" s="24"/>
      <c r="BV67" s="24"/>
      <c r="BW67" s="24"/>
      <c r="BX67" s="24"/>
      <c r="BY67" s="24"/>
      <c r="BZ67" s="24"/>
      <c r="CA67" s="24"/>
      <c r="CB67" s="24"/>
      <c r="CC67" s="24"/>
      <c r="CD67" s="24"/>
      <c r="CE67" s="24"/>
      <c r="CF67" s="24"/>
      <c r="CG67" s="24"/>
      <c r="CH67" s="24"/>
      <c r="CI67" s="24"/>
      <c r="CJ67" s="24"/>
    </row>
    <row r="68" spans="2:88" ht="15" customHeight="1" x14ac:dyDescent="0.3">
      <c r="B68" s="202"/>
      <c r="C68" s="203"/>
      <c r="D68" s="203"/>
      <c r="E68" s="203"/>
      <c r="F68" s="203"/>
      <c r="G68" s="203"/>
      <c r="H68" s="203"/>
      <c r="I68" s="203"/>
      <c r="J68" s="203"/>
      <c r="K68" s="203"/>
      <c r="L68" s="203"/>
      <c r="M68" s="203"/>
      <c r="N68" s="203"/>
      <c r="O68" s="203"/>
      <c r="P68" s="203"/>
      <c r="Q68" s="203"/>
      <c r="R68" s="203"/>
      <c r="S68" s="203"/>
      <c r="T68" s="203"/>
      <c r="U68" s="203"/>
      <c r="V68" s="203"/>
      <c r="W68" s="203"/>
      <c r="X68" s="203"/>
      <c r="Y68" s="203"/>
      <c r="Z68" s="203"/>
      <c r="AA68" s="203"/>
      <c r="AB68" s="203"/>
      <c r="AC68" s="203"/>
      <c r="AD68" s="203"/>
      <c r="AE68" s="203"/>
      <c r="AF68" s="203"/>
      <c r="AG68" s="203"/>
      <c r="AH68" s="203"/>
      <c r="AI68" s="203"/>
      <c r="AJ68" s="204"/>
      <c r="AR68" s="24"/>
      <c r="AS68" s="21"/>
      <c r="AT68" s="63"/>
      <c r="AU68" s="21"/>
      <c r="AV68" s="21"/>
      <c r="AW68" s="21"/>
      <c r="AX68" s="21"/>
      <c r="AY68" s="21"/>
      <c r="AZ68" s="21"/>
      <c r="BA68" s="21"/>
      <c r="BB68" s="21"/>
      <c r="BC68" s="21"/>
      <c r="BD68" s="21"/>
      <c r="BE68" s="21"/>
      <c r="BF68" s="21"/>
      <c r="BG68" s="21"/>
      <c r="BH68" s="21"/>
      <c r="BI68" s="21"/>
      <c r="BJ68" s="21"/>
      <c r="BK68" s="21"/>
      <c r="BL68" s="21"/>
      <c r="BM68" s="21"/>
      <c r="BN68" s="21"/>
      <c r="BO68" s="21"/>
      <c r="BP68" s="21"/>
      <c r="BQ68" s="21"/>
      <c r="BR68" s="21"/>
      <c r="BS68" s="21"/>
      <c r="BT68" s="21"/>
      <c r="BU68" s="24"/>
      <c r="BV68" s="24"/>
      <c r="BW68" s="24"/>
      <c r="BX68" s="24"/>
      <c r="BY68" s="24"/>
      <c r="BZ68" s="24"/>
      <c r="CA68" s="24"/>
      <c r="CB68" s="24"/>
      <c r="CC68" s="24"/>
      <c r="CD68" s="24"/>
      <c r="CE68" s="24"/>
      <c r="CF68" s="24"/>
      <c r="CG68" s="24"/>
      <c r="CH68" s="24"/>
      <c r="CI68" s="24"/>
      <c r="CJ68" s="24"/>
    </row>
    <row r="69" spans="2:88" ht="15" customHeight="1" x14ac:dyDescent="0.3">
      <c r="B69" s="202"/>
      <c r="C69" s="203"/>
      <c r="D69" s="203"/>
      <c r="E69" s="203"/>
      <c r="F69" s="203"/>
      <c r="G69" s="203"/>
      <c r="H69" s="203"/>
      <c r="I69" s="203"/>
      <c r="J69" s="203"/>
      <c r="K69" s="203"/>
      <c r="L69" s="203"/>
      <c r="M69" s="203"/>
      <c r="N69" s="203"/>
      <c r="O69" s="203"/>
      <c r="P69" s="203"/>
      <c r="Q69" s="203"/>
      <c r="R69" s="203"/>
      <c r="S69" s="203"/>
      <c r="T69" s="203"/>
      <c r="U69" s="203"/>
      <c r="V69" s="203"/>
      <c r="W69" s="203"/>
      <c r="X69" s="203"/>
      <c r="Y69" s="203"/>
      <c r="Z69" s="203"/>
      <c r="AA69" s="203"/>
      <c r="AB69" s="203"/>
      <c r="AC69" s="203"/>
      <c r="AD69" s="203"/>
      <c r="AE69" s="203"/>
      <c r="AF69" s="203"/>
      <c r="AG69" s="203"/>
      <c r="AH69" s="203"/>
      <c r="AI69" s="203"/>
      <c r="AJ69" s="204"/>
      <c r="AR69" s="24"/>
      <c r="AS69" s="21"/>
      <c r="AT69" s="63"/>
      <c r="AU69" s="21"/>
      <c r="AV69" s="21"/>
      <c r="AW69" s="21"/>
      <c r="AX69" s="21"/>
      <c r="AY69" s="21"/>
      <c r="AZ69" s="21"/>
      <c r="BA69" s="21"/>
      <c r="BB69" s="21"/>
      <c r="BC69" s="21"/>
      <c r="BD69" s="21"/>
      <c r="BE69" s="21"/>
      <c r="BF69" s="21"/>
      <c r="BG69" s="21"/>
      <c r="BH69" s="21"/>
      <c r="BI69" s="21"/>
      <c r="BJ69" s="21"/>
      <c r="BK69" s="21"/>
      <c r="BL69" s="21"/>
      <c r="BM69" s="21"/>
      <c r="BN69" s="21"/>
      <c r="BO69" s="21"/>
      <c r="BP69" s="21"/>
      <c r="BQ69" s="21"/>
      <c r="BR69" s="21"/>
      <c r="BS69" s="21"/>
      <c r="BT69" s="21"/>
      <c r="BU69" s="24"/>
      <c r="BV69" s="24"/>
      <c r="BW69" s="24"/>
      <c r="BX69" s="24"/>
      <c r="BY69" s="24"/>
      <c r="BZ69" s="24"/>
      <c r="CA69" s="24"/>
      <c r="CB69" s="24"/>
      <c r="CC69" s="24"/>
      <c r="CD69" s="24"/>
      <c r="CE69" s="24"/>
      <c r="CF69" s="24"/>
      <c r="CG69" s="24"/>
      <c r="CH69" s="24"/>
      <c r="CI69" s="24"/>
      <c r="CJ69" s="24"/>
    </row>
    <row r="70" spans="2:88" ht="15" customHeight="1" x14ac:dyDescent="0.3">
      <c r="B70" s="202"/>
      <c r="C70" s="203"/>
      <c r="D70" s="203"/>
      <c r="E70" s="203"/>
      <c r="F70" s="203"/>
      <c r="G70" s="203"/>
      <c r="H70" s="203"/>
      <c r="I70" s="203"/>
      <c r="J70" s="203"/>
      <c r="K70" s="203"/>
      <c r="L70" s="203"/>
      <c r="M70" s="203"/>
      <c r="N70" s="203"/>
      <c r="O70" s="203"/>
      <c r="P70" s="203"/>
      <c r="Q70" s="203"/>
      <c r="R70" s="203"/>
      <c r="S70" s="203"/>
      <c r="T70" s="203"/>
      <c r="U70" s="203"/>
      <c r="V70" s="203"/>
      <c r="W70" s="203"/>
      <c r="X70" s="203"/>
      <c r="Y70" s="203"/>
      <c r="Z70" s="203"/>
      <c r="AA70" s="203"/>
      <c r="AB70" s="203"/>
      <c r="AC70" s="203"/>
      <c r="AD70" s="203"/>
      <c r="AE70" s="203"/>
      <c r="AF70" s="203"/>
      <c r="AG70" s="203"/>
      <c r="AH70" s="203"/>
      <c r="AI70" s="203"/>
      <c r="AJ70" s="204"/>
      <c r="AR70" s="24"/>
      <c r="AS70" s="21"/>
      <c r="AT70" s="63"/>
      <c r="AU70" s="21"/>
      <c r="AV70" s="21"/>
      <c r="AW70" s="21"/>
      <c r="AX70" s="21"/>
      <c r="AY70" s="21"/>
      <c r="AZ70" s="21"/>
      <c r="BA70" s="21"/>
      <c r="BB70" s="21"/>
      <c r="BC70" s="21"/>
      <c r="BD70" s="21"/>
      <c r="BE70" s="21"/>
      <c r="BF70" s="21"/>
      <c r="BG70" s="21"/>
      <c r="BH70" s="21"/>
      <c r="BI70" s="21"/>
      <c r="BJ70" s="21"/>
      <c r="BK70" s="21"/>
      <c r="BL70" s="21"/>
      <c r="BM70" s="21"/>
      <c r="BN70" s="21"/>
      <c r="BO70" s="21"/>
      <c r="BP70" s="21"/>
      <c r="BQ70" s="21"/>
      <c r="BR70" s="21"/>
      <c r="BS70" s="21"/>
      <c r="BT70" s="21"/>
      <c r="BU70" s="24"/>
      <c r="BV70" s="24"/>
      <c r="BW70" s="24"/>
      <c r="BX70" s="24"/>
      <c r="BY70" s="24"/>
      <c r="BZ70" s="24"/>
      <c r="CA70" s="24"/>
      <c r="CB70" s="24"/>
      <c r="CC70" s="24"/>
      <c r="CD70" s="24"/>
      <c r="CE70" s="24"/>
      <c r="CF70" s="24"/>
      <c r="CG70" s="24"/>
      <c r="CH70" s="24"/>
      <c r="CI70" s="24"/>
      <c r="CJ70" s="24"/>
    </row>
    <row r="71" spans="2:88" ht="15" customHeight="1" x14ac:dyDescent="0.3">
      <c r="B71" s="202"/>
      <c r="C71" s="203"/>
      <c r="D71" s="203"/>
      <c r="E71" s="203"/>
      <c r="F71" s="203"/>
      <c r="G71" s="203"/>
      <c r="H71" s="203"/>
      <c r="I71" s="203"/>
      <c r="J71" s="203"/>
      <c r="K71" s="203"/>
      <c r="L71" s="203"/>
      <c r="M71" s="203"/>
      <c r="N71" s="203"/>
      <c r="O71" s="203"/>
      <c r="P71" s="203"/>
      <c r="Q71" s="203"/>
      <c r="R71" s="203"/>
      <c r="S71" s="203"/>
      <c r="T71" s="203"/>
      <c r="U71" s="203"/>
      <c r="V71" s="203"/>
      <c r="W71" s="203"/>
      <c r="X71" s="203"/>
      <c r="Y71" s="203"/>
      <c r="Z71" s="203"/>
      <c r="AA71" s="203"/>
      <c r="AB71" s="203"/>
      <c r="AC71" s="203"/>
      <c r="AD71" s="203"/>
      <c r="AE71" s="203"/>
      <c r="AF71" s="203"/>
      <c r="AG71" s="203"/>
      <c r="AH71" s="203"/>
      <c r="AI71" s="203"/>
      <c r="AJ71" s="204"/>
      <c r="AR71" s="24"/>
      <c r="AS71" s="21"/>
      <c r="AT71" s="63"/>
      <c r="AU71" s="21"/>
      <c r="AV71" s="21"/>
      <c r="AW71" s="21"/>
      <c r="AX71" s="21"/>
      <c r="AY71" s="21"/>
      <c r="AZ71" s="21"/>
      <c r="BA71" s="21"/>
      <c r="BB71" s="21"/>
      <c r="BC71" s="21"/>
      <c r="BD71" s="21"/>
      <c r="BE71" s="21"/>
      <c r="BF71" s="21"/>
      <c r="BG71" s="21"/>
      <c r="BH71" s="21"/>
      <c r="BI71" s="21"/>
      <c r="BJ71" s="21"/>
      <c r="BK71" s="21"/>
      <c r="BL71" s="21"/>
      <c r="BM71" s="21"/>
      <c r="BN71" s="21"/>
      <c r="BO71" s="21"/>
      <c r="BP71" s="21"/>
      <c r="BQ71" s="21"/>
      <c r="BR71" s="21"/>
      <c r="BS71" s="21"/>
      <c r="BT71" s="21"/>
      <c r="BU71" s="24"/>
      <c r="BV71" s="24"/>
      <c r="BW71" s="24"/>
      <c r="BX71" s="24"/>
      <c r="BY71" s="24"/>
      <c r="BZ71" s="24"/>
      <c r="CA71" s="24"/>
      <c r="CB71" s="24"/>
      <c r="CC71" s="24"/>
      <c r="CD71" s="24"/>
      <c r="CE71" s="24"/>
      <c r="CF71" s="24"/>
      <c r="CG71" s="24"/>
      <c r="CH71" s="24"/>
      <c r="CI71" s="24"/>
      <c r="CJ71" s="24"/>
    </row>
    <row r="72" spans="2:88" ht="15" customHeight="1" x14ac:dyDescent="0.3">
      <c r="B72" s="205"/>
      <c r="C72" s="206"/>
      <c r="D72" s="206"/>
      <c r="E72" s="206"/>
      <c r="F72" s="206"/>
      <c r="G72" s="206"/>
      <c r="H72" s="206"/>
      <c r="I72" s="206"/>
      <c r="J72" s="206"/>
      <c r="K72" s="206"/>
      <c r="L72" s="206"/>
      <c r="M72" s="206"/>
      <c r="N72" s="206"/>
      <c r="O72" s="206"/>
      <c r="P72" s="206"/>
      <c r="Q72" s="206"/>
      <c r="R72" s="206"/>
      <c r="S72" s="206"/>
      <c r="T72" s="206"/>
      <c r="U72" s="206"/>
      <c r="V72" s="206"/>
      <c r="W72" s="206"/>
      <c r="X72" s="206"/>
      <c r="Y72" s="206"/>
      <c r="Z72" s="206"/>
      <c r="AA72" s="206"/>
      <c r="AB72" s="206"/>
      <c r="AC72" s="206"/>
      <c r="AD72" s="206"/>
      <c r="AE72" s="206"/>
      <c r="AF72" s="206"/>
      <c r="AG72" s="206"/>
      <c r="AH72" s="206"/>
      <c r="AI72" s="206"/>
      <c r="AJ72" s="207"/>
      <c r="AR72" s="24"/>
      <c r="AS72" s="21"/>
      <c r="AT72" s="63"/>
      <c r="AU72" s="21"/>
      <c r="AV72" s="21"/>
      <c r="AW72" s="21"/>
      <c r="AX72" s="21"/>
      <c r="AY72" s="21"/>
      <c r="AZ72" s="21"/>
      <c r="BA72" s="21"/>
      <c r="BB72" s="21"/>
      <c r="BC72" s="21"/>
      <c r="BD72" s="21"/>
      <c r="BE72" s="21"/>
      <c r="BF72" s="21"/>
      <c r="BG72" s="21"/>
      <c r="BH72" s="21"/>
      <c r="BI72" s="21"/>
      <c r="BJ72" s="21"/>
      <c r="BK72" s="21"/>
      <c r="BL72" s="21"/>
      <c r="BM72" s="21"/>
      <c r="BN72" s="21"/>
      <c r="BO72" s="21"/>
      <c r="BP72" s="21"/>
      <c r="BQ72" s="21"/>
      <c r="BR72" s="21"/>
      <c r="BS72" s="21"/>
      <c r="BT72" s="21"/>
      <c r="BU72" s="24"/>
      <c r="BV72" s="24"/>
      <c r="BW72" s="24"/>
      <c r="BX72" s="24"/>
      <c r="BY72" s="24"/>
      <c r="BZ72" s="24"/>
      <c r="CA72" s="24"/>
      <c r="CB72" s="24"/>
      <c r="CC72" s="24"/>
      <c r="CD72" s="24"/>
      <c r="CE72" s="24"/>
      <c r="CF72" s="24"/>
      <c r="CG72" s="24"/>
      <c r="CH72" s="24"/>
      <c r="CI72" s="24"/>
      <c r="CJ72" s="24"/>
    </row>
    <row r="73" spans="2:88" ht="15" customHeight="1" x14ac:dyDescent="0.3">
      <c r="B73" s="5"/>
      <c r="AR73" s="24"/>
      <c r="AS73" s="21"/>
      <c r="AT73" s="63"/>
      <c r="AU73" s="21"/>
      <c r="AV73" s="21"/>
      <c r="AW73" s="21"/>
      <c r="AX73" s="21"/>
      <c r="AY73" s="21"/>
      <c r="AZ73" s="21"/>
      <c r="BA73" s="21"/>
      <c r="BB73" s="21"/>
      <c r="BC73" s="21"/>
      <c r="BD73" s="21"/>
      <c r="BE73" s="21"/>
      <c r="BF73" s="21"/>
      <c r="BG73" s="21"/>
      <c r="BH73" s="21"/>
      <c r="BI73" s="21"/>
      <c r="BJ73" s="21"/>
      <c r="BK73" s="21"/>
      <c r="BL73" s="21"/>
      <c r="BM73" s="21"/>
      <c r="BN73" s="21"/>
      <c r="BO73" s="21"/>
      <c r="BP73" s="21"/>
      <c r="BQ73" s="21"/>
      <c r="BR73" s="21"/>
      <c r="BS73" s="21"/>
      <c r="BT73" s="21"/>
      <c r="BU73" s="24"/>
      <c r="BV73" s="24"/>
      <c r="BW73" s="24"/>
      <c r="BX73" s="24"/>
      <c r="BY73" s="24"/>
      <c r="BZ73" s="24"/>
      <c r="CA73" s="24"/>
      <c r="CB73" s="24"/>
      <c r="CC73" s="24"/>
      <c r="CD73" s="24"/>
      <c r="CE73" s="24"/>
      <c r="CF73" s="24"/>
      <c r="CG73" s="24"/>
      <c r="CH73" s="24"/>
      <c r="CI73" s="24"/>
      <c r="CJ73" s="24"/>
    </row>
    <row r="74" spans="2:88" ht="15" customHeight="1" x14ac:dyDescent="0.3">
      <c r="B74" s="1" t="s">
        <v>19</v>
      </c>
      <c r="C74" s="1"/>
      <c r="D74" s="1"/>
      <c r="AR74" s="24"/>
      <c r="AS74" s="24"/>
      <c r="AT74" s="102"/>
      <c r="AU74" s="24"/>
      <c r="AV74" s="24"/>
      <c r="AW74" s="24"/>
      <c r="AX74" s="24"/>
      <c r="AY74" s="24"/>
      <c r="AZ74" s="24"/>
      <c r="BA74" s="24"/>
      <c r="BB74" s="24"/>
      <c r="BC74" s="24"/>
      <c r="BD74" s="24"/>
      <c r="BE74" s="24"/>
      <c r="BF74" s="24"/>
      <c r="BG74" s="24"/>
      <c r="BH74" s="24"/>
      <c r="BI74" s="24"/>
      <c r="BJ74" s="24"/>
      <c r="BK74" s="24"/>
      <c r="BL74" s="24"/>
      <c r="BM74" s="24"/>
      <c r="BN74" s="24"/>
      <c r="BO74" s="24"/>
      <c r="BP74" s="24"/>
      <c r="BQ74" s="24"/>
      <c r="BR74" s="24"/>
      <c r="BS74" s="24"/>
      <c r="BT74" s="24"/>
      <c r="BU74" s="24"/>
      <c r="BV74" s="24"/>
      <c r="BW74" s="24"/>
      <c r="BX74" s="24"/>
      <c r="BY74" s="24"/>
      <c r="BZ74" s="24"/>
      <c r="CA74" s="24"/>
      <c r="CB74" s="24"/>
      <c r="CC74" s="24"/>
      <c r="CD74" s="24"/>
      <c r="CE74" s="24"/>
      <c r="CF74" s="24"/>
      <c r="CG74" s="24"/>
      <c r="CH74" s="24"/>
      <c r="CI74" s="24"/>
      <c r="CJ74" s="24"/>
    </row>
    <row r="75" spans="2:88" ht="4.95" customHeight="1" x14ac:dyDescent="0.3">
      <c r="B75" s="1"/>
      <c r="C75" s="1"/>
      <c r="D75" s="1"/>
      <c r="AR75" s="24"/>
      <c r="AS75" s="24"/>
      <c r="AT75" s="102"/>
      <c r="AU75" s="24"/>
      <c r="AV75" s="24"/>
      <c r="AW75" s="24"/>
      <c r="AX75" s="24"/>
      <c r="AY75" s="24"/>
      <c r="AZ75" s="24"/>
      <c r="BA75" s="24"/>
      <c r="BB75" s="24"/>
      <c r="BC75" s="24"/>
      <c r="BD75" s="24"/>
      <c r="BE75" s="24"/>
      <c r="BF75" s="24"/>
      <c r="BG75" s="24"/>
      <c r="BH75" s="24"/>
      <c r="BI75" s="24"/>
      <c r="BJ75" s="24"/>
      <c r="BK75" s="24"/>
      <c r="BL75" s="24"/>
      <c r="BM75" s="24"/>
      <c r="BN75" s="24"/>
      <c r="BO75" s="24"/>
      <c r="BP75" s="24"/>
      <c r="BQ75" s="24"/>
      <c r="BR75" s="24"/>
      <c r="BS75" s="24"/>
      <c r="BT75" s="24"/>
      <c r="BU75" s="24"/>
      <c r="BV75" s="24"/>
      <c r="BW75" s="24"/>
      <c r="BX75" s="24"/>
      <c r="BY75" s="24"/>
      <c r="BZ75" s="24"/>
      <c r="CA75" s="24"/>
      <c r="CB75" s="24"/>
      <c r="CC75" s="24"/>
      <c r="CD75" s="24"/>
      <c r="CE75" s="24"/>
      <c r="CF75" s="24"/>
      <c r="CG75" s="24"/>
      <c r="CH75" s="24"/>
      <c r="CI75" s="24"/>
      <c r="CJ75" s="24"/>
    </row>
    <row r="76" spans="2:88" ht="15" customHeight="1" x14ac:dyDescent="0.3">
      <c r="B76" s="83" t="s">
        <v>322</v>
      </c>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R76" s="24"/>
      <c r="AS76" s="24"/>
      <c r="AT76" s="102"/>
      <c r="AU76" s="24"/>
      <c r="AV76" s="24"/>
      <c r="AW76" s="24"/>
      <c r="AX76" s="24"/>
      <c r="AY76" s="24"/>
      <c r="AZ76" s="24"/>
      <c r="BA76" s="24"/>
      <c r="BB76" s="24"/>
      <c r="BC76" s="24"/>
      <c r="BD76" s="24"/>
      <c r="BE76" s="24"/>
      <c r="BF76" s="24"/>
      <c r="BG76" s="24"/>
      <c r="BH76" s="24"/>
      <c r="BI76" s="24"/>
      <c r="BJ76" s="24"/>
      <c r="BK76" s="24"/>
      <c r="BL76" s="24"/>
      <c r="BM76" s="24"/>
      <c r="BN76" s="24"/>
      <c r="BO76" s="24"/>
      <c r="BP76" s="24"/>
      <c r="BQ76" s="24"/>
      <c r="BR76" s="24"/>
      <c r="BS76" s="24"/>
      <c r="BT76" s="24"/>
      <c r="BU76" s="24"/>
      <c r="BV76" s="24"/>
      <c r="BW76" s="24"/>
      <c r="BX76" s="24"/>
      <c r="BY76" s="24"/>
      <c r="BZ76" s="24"/>
      <c r="CA76" s="24"/>
      <c r="CB76" s="24"/>
      <c r="CC76" s="24"/>
      <c r="CD76" s="24"/>
      <c r="CE76" s="24"/>
      <c r="CF76" s="24"/>
      <c r="CG76" s="24"/>
      <c r="CH76" s="24"/>
      <c r="CI76" s="24"/>
      <c r="CJ76" s="24"/>
    </row>
    <row r="77" spans="2:88" ht="15" customHeight="1" x14ac:dyDescent="0.3">
      <c r="B77" s="83" t="s">
        <v>323</v>
      </c>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R77" s="24"/>
      <c r="AS77" s="24"/>
      <c r="AT77" s="102"/>
      <c r="AU77" s="24"/>
      <c r="AV77" s="24"/>
      <c r="AW77" s="24"/>
      <c r="AX77" s="24"/>
      <c r="AY77" s="24"/>
      <c r="AZ77" s="24"/>
      <c r="BA77" s="24"/>
      <c r="BB77" s="24"/>
      <c r="BC77" s="24"/>
      <c r="BD77" s="24"/>
      <c r="BE77" s="24"/>
      <c r="BF77" s="24"/>
      <c r="BG77" s="24"/>
      <c r="BH77" s="24"/>
      <c r="BI77" s="24"/>
      <c r="BJ77" s="24"/>
      <c r="BK77" s="24"/>
      <c r="BL77" s="24"/>
      <c r="BM77" s="24"/>
      <c r="BN77" s="24"/>
      <c r="BO77" s="24"/>
      <c r="BP77" s="24"/>
      <c r="BQ77" s="24"/>
      <c r="BR77" s="24"/>
      <c r="BS77" s="24"/>
      <c r="BT77" s="24"/>
      <c r="BU77" s="24"/>
      <c r="BV77" s="24"/>
      <c r="BW77" s="24"/>
      <c r="BX77" s="24"/>
      <c r="BY77" s="24"/>
      <c r="BZ77" s="24"/>
      <c r="CA77" s="24"/>
      <c r="CB77" s="24"/>
      <c r="CC77" s="24"/>
      <c r="CD77" s="24"/>
      <c r="CE77" s="24"/>
      <c r="CF77" s="24"/>
      <c r="CG77" s="24"/>
      <c r="CH77" s="24"/>
      <c r="CI77" s="24"/>
      <c r="CJ77" s="24"/>
    </row>
    <row r="78" spans="2:88" ht="15" customHeight="1" x14ac:dyDescent="0.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R78" s="24"/>
      <c r="AS78" s="24"/>
      <c r="AT78" s="102"/>
      <c r="AU78" s="24"/>
      <c r="AV78" s="24"/>
      <c r="AW78" s="24"/>
      <c r="AX78" s="24"/>
      <c r="AY78" s="24"/>
      <c r="AZ78" s="24"/>
      <c r="BA78" s="24"/>
      <c r="BB78" s="24"/>
      <c r="BC78" s="24"/>
      <c r="BD78" s="24"/>
      <c r="BE78" s="24"/>
      <c r="BF78" s="24"/>
      <c r="BG78" s="24"/>
      <c r="BH78" s="24"/>
      <c r="BI78" s="24"/>
      <c r="BJ78" s="24"/>
      <c r="BK78" s="24"/>
      <c r="BL78" s="24"/>
      <c r="BM78" s="24"/>
      <c r="BN78" s="24"/>
      <c r="BO78" s="24"/>
      <c r="BP78" s="24"/>
      <c r="BQ78" s="24"/>
      <c r="BR78" s="24"/>
      <c r="BS78" s="24"/>
      <c r="BT78" s="24"/>
      <c r="BU78" s="24"/>
      <c r="BV78" s="24"/>
      <c r="BW78" s="24"/>
      <c r="BX78" s="24"/>
      <c r="BY78" s="24"/>
      <c r="BZ78" s="24"/>
      <c r="CA78" s="24"/>
      <c r="CB78" s="24"/>
      <c r="CC78" s="24"/>
      <c r="CD78" s="24"/>
      <c r="CE78" s="24"/>
      <c r="CF78" s="24"/>
      <c r="CG78" s="24"/>
      <c r="CH78" s="24"/>
      <c r="CI78" s="24"/>
      <c r="CJ78" s="24"/>
    </row>
    <row r="79" spans="2:88" ht="15" customHeight="1" x14ac:dyDescent="0.3">
      <c r="D79" s="2" t="s">
        <v>171</v>
      </c>
      <c r="E79" s="179"/>
      <c r="F79" s="179"/>
      <c r="G79" s="179"/>
      <c r="H79" s="179"/>
      <c r="I79" s="179"/>
      <c r="J79" s="179"/>
      <c r="K79" s="179"/>
      <c r="L79" s="179"/>
      <c r="M79" s="179"/>
      <c r="N79" s="179"/>
      <c r="O79" s="179"/>
      <c r="P79" s="179"/>
      <c r="Q79" s="179"/>
      <c r="R79" s="179"/>
      <c r="S79" s="179"/>
      <c r="T79" s="179"/>
      <c r="U79" s="179"/>
      <c r="V79" s="179"/>
      <c r="W79" s="179"/>
      <c r="X79" s="179"/>
      <c r="Y79" s="179"/>
      <c r="AB79" s="2" t="s">
        <v>290</v>
      </c>
      <c r="AC79" s="2"/>
      <c r="AD79" s="2"/>
      <c r="AE79" s="2"/>
      <c r="AR79" s="24"/>
      <c r="AS79" s="24"/>
      <c r="AT79" s="102"/>
      <c r="AU79" s="24"/>
      <c r="AV79" s="24"/>
      <c r="AW79" s="24"/>
      <c r="AX79" s="24"/>
      <c r="AY79" s="24"/>
      <c r="AZ79" s="24"/>
      <c r="BA79" s="24"/>
      <c r="BB79" s="24"/>
      <c r="BC79" s="24"/>
      <c r="BD79" s="24"/>
      <c r="BE79" s="24"/>
      <c r="BF79" s="24"/>
      <c r="BG79" s="24"/>
      <c r="BH79" s="24"/>
      <c r="BI79" s="24"/>
      <c r="BJ79" s="24"/>
      <c r="BK79" s="24"/>
      <c r="BL79" s="24"/>
      <c r="BM79" s="24"/>
      <c r="BN79" s="24"/>
      <c r="BO79" s="24"/>
      <c r="BP79" s="24"/>
      <c r="BQ79" s="24"/>
      <c r="BR79" s="24"/>
      <c r="BS79" s="24"/>
      <c r="BT79" s="24"/>
      <c r="BU79" s="24"/>
      <c r="BV79" s="24"/>
      <c r="BW79" s="24"/>
      <c r="BX79" s="24"/>
      <c r="BY79" s="24"/>
      <c r="BZ79" s="24"/>
      <c r="CA79" s="24"/>
      <c r="CB79" s="24"/>
      <c r="CC79" s="24"/>
      <c r="CD79" s="24"/>
      <c r="CE79" s="24"/>
      <c r="CF79" s="24"/>
      <c r="CG79" s="24"/>
      <c r="CH79" s="24"/>
      <c r="CI79" s="24"/>
      <c r="CJ79" s="24"/>
    </row>
    <row r="80" spans="2:88" ht="15" customHeight="1" x14ac:dyDescent="0.3">
      <c r="D80" s="2" t="s">
        <v>132</v>
      </c>
      <c r="E80" s="212"/>
      <c r="F80" s="212"/>
      <c r="G80" s="212"/>
      <c r="H80" s="212"/>
      <c r="I80" s="212"/>
      <c r="J80" s="212"/>
      <c r="K80" s="212"/>
      <c r="L80" s="212"/>
      <c r="M80" s="212"/>
      <c r="N80" s="212"/>
      <c r="O80" s="212"/>
      <c r="P80" s="212"/>
      <c r="Q80" s="212"/>
      <c r="R80" s="212"/>
      <c r="S80" s="212"/>
      <c r="T80" s="212"/>
      <c r="U80" s="212"/>
      <c r="V80" s="212"/>
      <c r="W80" s="212"/>
      <c r="X80" s="212"/>
      <c r="Y80" s="212"/>
      <c r="AR80" s="24"/>
      <c r="AS80" s="24"/>
      <c r="AT80" s="102"/>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row>
    <row r="81" spans="3:88" ht="15" customHeight="1" x14ac:dyDescent="0.3">
      <c r="D81" s="2" t="s">
        <v>133</v>
      </c>
      <c r="E81" s="212"/>
      <c r="F81" s="212"/>
      <c r="G81" s="212"/>
      <c r="H81" s="212"/>
      <c r="I81" s="212"/>
      <c r="J81" s="212"/>
      <c r="K81" s="212"/>
      <c r="L81" s="212"/>
      <c r="M81" s="212"/>
      <c r="N81" s="212"/>
      <c r="O81" s="212"/>
      <c r="P81" s="212"/>
      <c r="Q81" s="212"/>
      <c r="R81" s="212"/>
      <c r="S81" s="212"/>
      <c r="T81" s="212"/>
      <c r="U81" s="212"/>
      <c r="V81" s="212"/>
      <c r="W81" s="212"/>
      <c r="X81" s="212"/>
      <c r="Y81" s="212"/>
      <c r="AR81" s="24"/>
      <c r="AS81" s="24"/>
      <c r="AT81" s="102"/>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row>
    <row r="82" spans="3:88" ht="15" customHeight="1" x14ac:dyDescent="0.3">
      <c r="D82" s="2" t="s">
        <v>273</v>
      </c>
      <c r="E82" s="212"/>
      <c r="F82" s="212"/>
      <c r="G82" s="212"/>
      <c r="H82" s="212"/>
      <c r="I82" s="212"/>
      <c r="J82" s="212"/>
      <c r="K82" s="212"/>
      <c r="L82" s="61"/>
      <c r="M82" s="61"/>
      <c r="N82" s="98" t="s">
        <v>136</v>
      </c>
      <c r="O82" s="212"/>
      <c r="P82" s="212"/>
      <c r="Q82" s="212"/>
      <c r="R82" s="212"/>
      <c r="S82" s="61"/>
      <c r="T82" s="61"/>
      <c r="U82" s="61"/>
      <c r="V82" s="98" t="s">
        <v>137</v>
      </c>
      <c r="W82" s="219"/>
      <c r="X82" s="219"/>
      <c r="Y82" s="219"/>
      <c r="AR82" s="24"/>
      <c r="AS82" s="24"/>
      <c r="AT82" s="102"/>
      <c r="AU82" s="24"/>
      <c r="AV82" s="24"/>
      <c r="AW82" s="24"/>
      <c r="AX82" s="24"/>
      <c r="AY82" s="24"/>
      <c r="AZ82" s="24"/>
      <c r="BA82" s="24"/>
      <c r="BB82" s="24"/>
      <c r="BC82" s="24"/>
      <c r="BD82" s="24"/>
      <c r="BE82" s="24"/>
      <c r="BF82" s="24"/>
      <c r="BG82" s="24"/>
      <c r="BH82" s="24"/>
      <c r="BI82" s="24"/>
      <c r="BJ82" s="24"/>
      <c r="BK82" s="24"/>
      <c r="BL82" s="24"/>
      <c r="BM82" s="24"/>
      <c r="BN82" s="24"/>
      <c r="BO82" s="24"/>
      <c r="BP82" s="24"/>
      <c r="BQ82" s="24"/>
      <c r="BR82" s="24"/>
      <c r="BS82" s="24"/>
      <c r="BT82" s="24"/>
      <c r="BU82" s="24"/>
      <c r="BV82" s="24"/>
      <c r="BW82" s="24"/>
      <c r="BX82" s="24"/>
      <c r="BY82" s="24"/>
      <c r="BZ82" s="24"/>
      <c r="CA82" s="24"/>
      <c r="CB82" s="24"/>
      <c r="CC82" s="24"/>
      <c r="CD82" s="24"/>
      <c r="CE82" s="24"/>
      <c r="CF82" s="24"/>
      <c r="CG82" s="24"/>
      <c r="CH82" s="24"/>
      <c r="CI82" s="24"/>
      <c r="CJ82" s="24"/>
    </row>
    <row r="83" spans="3:88" ht="15" customHeight="1" x14ac:dyDescent="0.3">
      <c r="C83" s="62"/>
      <c r="D83" s="2" t="s">
        <v>134</v>
      </c>
      <c r="E83" s="222"/>
      <c r="F83" s="222"/>
      <c r="G83" s="222"/>
      <c r="H83" s="222"/>
      <c r="I83" s="222"/>
      <c r="J83" s="222"/>
      <c r="K83" s="222"/>
      <c r="L83" s="222"/>
      <c r="M83" s="222"/>
      <c r="N83" s="222"/>
      <c r="O83" s="222"/>
      <c r="P83" s="222"/>
      <c r="Q83" s="222"/>
      <c r="R83" s="222"/>
      <c r="S83" s="222"/>
      <c r="T83" s="222"/>
      <c r="U83" s="222"/>
      <c r="V83" s="222"/>
      <c r="W83" s="222"/>
      <c r="X83" s="222"/>
      <c r="Y83" s="222"/>
      <c r="AR83" s="24"/>
      <c r="AS83" s="24"/>
      <c r="AT83" s="102"/>
      <c r="AU83" s="24"/>
      <c r="AV83" s="24"/>
      <c r="AW83" s="24"/>
      <c r="AX83" s="24"/>
      <c r="AY83" s="24"/>
      <c r="AZ83" s="24"/>
      <c r="BA83" s="24"/>
      <c r="BB83" s="24"/>
      <c r="BC83" s="24"/>
      <c r="BD83" s="24"/>
      <c r="BE83" s="24"/>
      <c r="BF83" s="24"/>
      <c r="BG83" s="24"/>
      <c r="BH83" s="24"/>
      <c r="BI83" s="24"/>
      <c r="BJ83" s="24"/>
      <c r="BK83" s="24"/>
      <c r="BL83" s="24"/>
      <c r="BM83" s="24"/>
      <c r="BN83" s="24"/>
      <c r="BO83" s="24"/>
      <c r="BP83" s="24"/>
      <c r="BQ83" s="24"/>
      <c r="BR83" s="24"/>
      <c r="BS83" s="24"/>
      <c r="BT83" s="24"/>
      <c r="BU83" s="24"/>
      <c r="BV83" s="24"/>
      <c r="BW83" s="24"/>
      <c r="BX83" s="24"/>
      <c r="BY83" s="24"/>
      <c r="BZ83" s="24"/>
      <c r="CA83" s="24"/>
      <c r="CB83" s="24"/>
      <c r="CC83" s="24"/>
      <c r="CD83" s="24"/>
      <c r="CE83" s="24"/>
      <c r="CF83" s="24"/>
      <c r="CG83" s="24"/>
      <c r="CH83" s="24"/>
      <c r="CI83" s="24"/>
      <c r="CJ83" s="24"/>
    </row>
    <row r="84" spans="3:88" ht="15" customHeight="1" x14ac:dyDescent="0.3">
      <c r="D84" s="2" t="s">
        <v>138</v>
      </c>
      <c r="E84" s="223"/>
      <c r="F84" s="223"/>
      <c r="G84" s="223"/>
      <c r="H84" s="223"/>
      <c r="I84" s="223"/>
      <c r="U84" s="53"/>
      <c r="V84" s="53"/>
      <c r="W84" s="53"/>
      <c r="AR84" s="24"/>
      <c r="AS84" s="24"/>
      <c r="AT84" s="102"/>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4"/>
      <c r="BW84" s="24"/>
      <c r="BX84" s="24"/>
      <c r="BY84" s="24"/>
      <c r="BZ84" s="24"/>
      <c r="CA84" s="24"/>
      <c r="CB84" s="24"/>
      <c r="CC84" s="24"/>
      <c r="CD84" s="24"/>
      <c r="CE84" s="24"/>
      <c r="CF84" s="24"/>
      <c r="CG84" s="24"/>
      <c r="CH84" s="24"/>
      <c r="CI84" s="24"/>
      <c r="CJ84" s="24"/>
    </row>
    <row r="85" spans="3:88" ht="15" customHeight="1" x14ac:dyDescent="0.3">
      <c r="D85" s="2"/>
      <c r="E85" s="61"/>
      <c r="F85" s="61"/>
      <c r="G85" s="61"/>
      <c r="H85" s="61"/>
      <c r="I85" s="61"/>
      <c r="U85" s="53"/>
      <c r="V85" s="53"/>
      <c r="W85" s="53"/>
      <c r="AR85" s="24"/>
      <c r="AS85" s="24"/>
      <c r="AT85" s="102"/>
      <c r="AU85" s="24"/>
      <c r="AV85" s="24"/>
      <c r="AW85" s="24"/>
      <c r="AX85" s="24"/>
      <c r="AY85" s="24"/>
      <c r="AZ85" s="24"/>
      <c r="BA85" s="24"/>
      <c r="BB85" s="24"/>
      <c r="BC85" s="24"/>
      <c r="BD85" s="24"/>
      <c r="BE85" s="24"/>
      <c r="BF85" s="24"/>
      <c r="BG85" s="24"/>
      <c r="BH85" s="24"/>
      <c r="BI85" s="24"/>
      <c r="BJ85" s="24"/>
      <c r="BK85" s="24"/>
      <c r="BL85" s="24"/>
      <c r="BM85" s="24"/>
      <c r="BN85" s="24"/>
      <c r="BO85" s="24"/>
      <c r="BP85" s="24"/>
      <c r="BQ85" s="24"/>
      <c r="BR85" s="24"/>
      <c r="BS85" s="24"/>
      <c r="BT85" s="24"/>
      <c r="BU85" s="24"/>
      <c r="BV85" s="24"/>
      <c r="BW85" s="24"/>
      <c r="BX85" s="24"/>
      <c r="BY85" s="24"/>
      <c r="BZ85" s="24"/>
      <c r="CA85" s="24"/>
      <c r="CB85" s="24"/>
      <c r="CC85" s="24"/>
      <c r="CD85" s="24"/>
      <c r="CE85" s="24"/>
      <c r="CF85" s="24"/>
      <c r="CG85" s="24"/>
      <c r="CH85" s="24"/>
      <c r="CI85" s="24"/>
      <c r="CJ85" s="24"/>
    </row>
    <row r="86" spans="3:88" ht="15" customHeight="1" x14ac:dyDescent="0.3">
      <c r="D86" s="2" t="s">
        <v>172</v>
      </c>
      <c r="E86" s="78"/>
      <c r="F86" s="78"/>
      <c r="G86" s="78"/>
      <c r="H86" s="78"/>
      <c r="I86" s="78"/>
      <c r="J86" s="78"/>
      <c r="K86" s="78"/>
      <c r="L86" s="78"/>
      <c r="M86" s="78"/>
      <c r="N86" s="78"/>
      <c r="O86" s="78"/>
      <c r="P86" s="78"/>
      <c r="Q86" s="78"/>
      <c r="R86" s="78"/>
      <c r="S86" s="78"/>
      <c r="T86" s="78"/>
      <c r="U86" s="53"/>
      <c r="V86" s="53"/>
      <c r="W86" s="53"/>
      <c r="AB86" s="2" t="s">
        <v>168</v>
      </c>
      <c r="AC86" s="218"/>
      <c r="AD86" s="218"/>
      <c r="AE86" s="218"/>
      <c r="AF86" s="218"/>
      <c r="AG86" s="218"/>
      <c r="AR86" s="24"/>
      <c r="AS86" s="24"/>
      <c r="AT86" s="102"/>
      <c r="AU86" s="24"/>
      <c r="AV86" s="24"/>
      <c r="AW86" s="24"/>
      <c r="AX86" s="24"/>
      <c r="AY86" s="24"/>
      <c r="AZ86" s="24"/>
      <c r="BA86" s="24"/>
      <c r="BB86" s="24"/>
      <c r="BC86" s="24"/>
      <c r="BD86" s="24"/>
      <c r="BE86" s="24"/>
      <c r="BF86" s="24"/>
      <c r="BG86" s="24"/>
      <c r="BH86" s="24"/>
      <c r="BI86" s="24"/>
      <c r="BJ86" s="24"/>
      <c r="BK86" s="24"/>
      <c r="BL86" s="24"/>
      <c r="BM86" s="24"/>
      <c r="BN86" s="24"/>
      <c r="BO86" s="24"/>
      <c r="BP86" s="24"/>
      <c r="BQ86" s="24"/>
      <c r="BR86" s="24"/>
      <c r="BS86" s="24"/>
      <c r="BT86" s="24"/>
      <c r="BU86" s="24"/>
      <c r="BV86" s="24"/>
      <c r="BW86" s="24"/>
      <c r="BX86" s="24"/>
      <c r="BY86" s="24"/>
      <c r="BZ86" s="24"/>
      <c r="CA86" s="24"/>
      <c r="CB86" s="24"/>
      <c r="CC86" s="24"/>
      <c r="CD86" s="24"/>
      <c r="CE86" s="24"/>
      <c r="CF86" s="24"/>
      <c r="CG86" s="24"/>
      <c r="CH86" s="24"/>
      <c r="CI86" s="24"/>
      <c r="CJ86" s="24"/>
    </row>
    <row r="87" spans="3:88" ht="15" customHeight="1" x14ac:dyDescent="0.3">
      <c r="AR87" s="24"/>
      <c r="AS87" s="24"/>
      <c r="AT87" s="102"/>
      <c r="AU87" s="24"/>
      <c r="AV87" s="24"/>
      <c r="AW87" s="24"/>
      <c r="AX87" s="24"/>
      <c r="AY87" s="24"/>
      <c r="AZ87" s="24"/>
      <c r="BA87" s="24"/>
      <c r="BB87" s="24"/>
      <c r="BC87" s="24"/>
      <c r="BD87" s="24"/>
      <c r="BE87" s="24"/>
      <c r="BF87" s="24"/>
      <c r="BG87" s="24"/>
      <c r="BH87" s="24"/>
      <c r="BI87" s="24"/>
      <c r="BJ87" s="24"/>
      <c r="BK87" s="24"/>
      <c r="BL87" s="24"/>
      <c r="BM87" s="24"/>
      <c r="BN87" s="24"/>
      <c r="BO87" s="24"/>
      <c r="BP87" s="24"/>
      <c r="BQ87" s="24"/>
      <c r="BR87" s="24"/>
      <c r="BS87" s="24"/>
      <c r="BT87" s="24"/>
      <c r="BU87" s="24"/>
      <c r="BV87" s="24"/>
      <c r="BW87" s="24"/>
      <c r="BX87" s="24"/>
      <c r="BY87" s="24"/>
      <c r="BZ87" s="24"/>
      <c r="CA87" s="24"/>
      <c r="CB87" s="24"/>
      <c r="CC87" s="24"/>
      <c r="CD87" s="24"/>
      <c r="CE87" s="24"/>
      <c r="CF87" s="24"/>
      <c r="CG87" s="24"/>
      <c r="CH87" s="24"/>
      <c r="CI87" s="24"/>
      <c r="CJ87" s="24"/>
    </row>
    <row r="88" spans="3:88" ht="15" customHeight="1" x14ac:dyDescent="0.3">
      <c r="AR88" s="24"/>
      <c r="AS88" s="24"/>
      <c r="AT88" s="102"/>
      <c r="AU88" s="24"/>
      <c r="AV88" s="24"/>
      <c r="AW88" s="24"/>
      <c r="AX88" s="24"/>
      <c r="AY88" s="24"/>
      <c r="AZ88" s="24"/>
      <c r="BA88" s="24"/>
      <c r="BB88" s="24"/>
      <c r="BC88" s="24"/>
      <c r="BD88" s="24"/>
      <c r="BE88" s="24"/>
      <c r="BF88" s="24"/>
      <c r="BG88" s="24"/>
      <c r="BH88" s="24"/>
      <c r="BI88" s="24"/>
      <c r="BJ88" s="24"/>
      <c r="BK88" s="24"/>
      <c r="BL88" s="24"/>
      <c r="BM88" s="24"/>
      <c r="BN88" s="24"/>
      <c r="BO88" s="24"/>
      <c r="BP88" s="24"/>
      <c r="BQ88" s="24"/>
      <c r="BR88" s="24"/>
      <c r="BS88" s="24"/>
      <c r="BT88" s="24"/>
      <c r="BU88" s="24"/>
      <c r="BV88" s="24"/>
      <c r="BW88" s="24"/>
      <c r="BX88" s="24"/>
      <c r="BY88" s="24"/>
      <c r="BZ88" s="24"/>
      <c r="CA88" s="24"/>
      <c r="CB88" s="24"/>
      <c r="CC88" s="24"/>
      <c r="CD88" s="24"/>
      <c r="CE88" s="24"/>
      <c r="CF88" s="24"/>
      <c r="CG88" s="24"/>
      <c r="CH88" s="24"/>
      <c r="CI88" s="24"/>
      <c r="CJ88" s="24"/>
    </row>
    <row r="89" spans="3:88" ht="15" customHeight="1" x14ac:dyDescent="0.3">
      <c r="AR89" s="24"/>
      <c r="AS89" s="24"/>
      <c r="AT89" s="102"/>
      <c r="AU89" s="24"/>
      <c r="AV89" s="24"/>
      <c r="AW89" s="24"/>
      <c r="AX89" s="24"/>
      <c r="AY89" s="24"/>
      <c r="AZ89" s="24"/>
      <c r="BA89" s="24"/>
      <c r="BB89" s="24"/>
      <c r="BC89" s="24"/>
      <c r="BD89" s="24"/>
      <c r="BE89" s="24"/>
      <c r="BF89" s="24"/>
      <c r="BG89" s="24"/>
      <c r="BH89" s="24"/>
      <c r="BI89" s="24"/>
      <c r="BJ89" s="24"/>
      <c r="BK89" s="24"/>
      <c r="BL89" s="24"/>
      <c r="BM89" s="24"/>
      <c r="BN89" s="24"/>
      <c r="BO89" s="24"/>
      <c r="BP89" s="24"/>
      <c r="BQ89" s="24"/>
      <c r="BR89" s="24"/>
      <c r="BS89" s="24"/>
      <c r="BT89" s="24"/>
      <c r="BU89" s="24"/>
      <c r="BV89" s="24"/>
      <c r="BW89" s="24"/>
      <c r="BX89" s="24"/>
      <c r="BY89" s="24"/>
      <c r="BZ89" s="24"/>
      <c r="CA89" s="24"/>
      <c r="CB89" s="24"/>
      <c r="CC89" s="24"/>
      <c r="CD89" s="24"/>
      <c r="CE89" s="24"/>
      <c r="CF89" s="24"/>
      <c r="CG89" s="24"/>
      <c r="CH89" s="24"/>
      <c r="CI89" s="24"/>
      <c r="CJ89" s="24"/>
    </row>
    <row r="90" spans="3:88" ht="15" customHeight="1" x14ac:dyDescent="0.3">
      <c r="AR90" s="24"/>
      <c r="AS90" s="24"/>
      <c r="AT90" s="102"/>
      <c r="AU90" s="24"/>
      <c r="AV90" s="24"/>
      <c r="AW90" s="24"/>
      <c r="AX90" s="24"/>
      <c r="AY90" s="24"/>
      <c r="AZ90" s="24"/>
      <c r="BA90" s="24"/>
      <c r="BB90" s="24"/>
      <c r="BC90" s="24"/>
      <c r="BD90" s="24"/>
      <c r="BE90" s="24"/>
      <c r="BF90" s="24"/>
      <c r="BG90" s="24"/>
      <c r="BH90" s="24"/>
      <c r="BI90" s="24"/>
      <c r="BJ90" s="24"/>
      <c r="BK90" s="24"/>
      <c r="BL90" s="24"/>
      <c r="BM90" s="24"/>
      <c r="BN90" s="24"/>
      <c r="BO90" s="24"/>
      <c r="BP90" s="24"/>
      <c r="BQ90" s="24"/>
      <c r="BR90" s="24"/>
      <c r="BS90" s="24"/>
      <c r="BT90" s="24"/>
      <c r="BU90" s="24"/>
      <c r="BV90" s="24"/>
      <c r="BW90" s="24"/>
      <c r="BX90" s="24"/>
      <c r="BY90" s="24"/>
      <c r="BZ90" s="24"/>
      <c r="CA90" s="24"/>
      <c r="CB90" s="24"/>
      <c r="CC90" s="24"/>
      <c r="CD90" s="24"/>
      <c r="CE90" s="24"/>
      <c r="CF90" s="24"/>
      <c r="CG90" s="24"/>
      <c r="CH90" s="24"/>
      <c r="CI90" s="24"/>
      <c r="CJ90" s="24"/>
    </row>
    <row r="91" spans="3:88" ht="15" customHeight="1" x14ac:dyDescent="0.3">
      <c r="AR91" s="24"/>
      <c r="AS91" s="24"/>
      <c r="AT91" s="102"/>
      <c r="AU91" s="24"/>
      <c r="AV91" s="24"/>
      <c r="AW91" s="24"/>
      <c r="AX91" s="24"/>
      <c r="AY91" s="24"/>
      <c r="AZ91" s="24"/>
      <c r="BA91" s="24"/>
      <c r="BB91" s="24"/>
      <c r="BC91" s="24"/>
      <c r="BD91" s="24"/>
      <c r="BE91" s="24"/>
      <c r="BF91" s="24"/>
      <c r="BG91" s="24"/>
      <c r="BH91" s="24"/>
      <c r="BI91" s="24"/>
      <c r="BJ91" s="24"/>
      <c r="BK91" s="24"/>
      <c r="BL91" s="24"/>
      <c r="BM91" s="24"/>
      <c r="BN91" s="24"/>
      <c r="BO91" s="24"/>
      <c r="BP91" s="24"/>
      <c r="BQ91" s="24"/>
      <c r="BR91" s="24"/>
      <c r="BS91" s="24"/>
      <c r="BT91" s="24"/>
      <c r="BU91" s="24"/>
      <c r="BV91" s="24"/>
      <c r="BW91" s="24"/>
      <c r="BX91" s="24"/>
      <c r="BY91" s="24"/>
      <c r="BZ91" s="24"/>
      <c r="CA91" s="24"/>
      <c r="CB91" s="24"/>
      <c r="CC91" s="24"/>
      <c r="CD91" s="24"/>
      <c r="CE91" s="24"/>
      <c r="CF91" s="24"/>
      <c r="CG91" s="24"/>
      <c r="CH91" s="24"/>
      <c r="CI91" s="24"/>
      <c r="CJ91" s="24"/>
    </row>
    <row r="92" spans="3:88" ht="15" customHeight="1" x14ac:dyDescent="0.3">
      <c r="AR92" s="24"/>
      <c r="AS92" s="24"/>
      <c r="AT92" s="102"/>
      <c r="AU92" s="24"/>
      <c r="AV92" s="24"/>
      <c r="AW92" s="24"/>
      <c r="AX92" s="24"/>
      <c r="AY92" s="24"/>
      <c r="AZ92" s="24"/>
      <c r="BA92" s="24"/>
      <c r="BB92" s="24"/>
      <c r="BC92" s="24"/>
      <c r="BD92" s="24"/>
      <c r="BE92" s="24"/>
      <c r="BF92" s="24"/>
      <c r="BG92" s="24"/>
      <c r="BH92" s="24"/>
      <c r="BI92" s="24"/>
      <c r="BJ92" s="24"/>
      <c r="BK92" s="24"/>
      <c r="BL92" s="24"/>
      <c r="BM92" s="24"/>
      <c r="BN92" s="24"/>
      <c r="BO92" s="24"/>
      <c r="BP92" s="24"/>
      <c r="BQ92" s="24"/>
      <c r="BR92" s="24"/>
      <c r="BS92" s="24"/>
      <c r="BT92" s="24"/>
      <c r="BU92" s="24"/>
      <c r="BV92" s="24"/>
      <c r="BW92" s="24"/>
      <c r="BX92" s="24"/>
      <c r="BY92" s="24"/>
      <c r="BZ92" s="24"/>
      <c r="CA92" s="24"/>
      <c r="CB92" s="24"/>
      <c r="CC92" s="24"/>
      <c r="CD92" s="24"/>
      <c r="CE92" s="24"/>
      <c r="CF92" s="24"/>
      <c r="CG92" s="24"/>
      <c r="CH92" s="24"/>
      <c r="CI92" s="24"/>
      <c r="CJ92" s="24"/>
    </row>
    <row r="93" spans="3:88" ht="15" customHeight="1" x14ac:dyDescent="0.3">
      <c r="AR93" s="24"/>
      <c r="AS93" s="24"/>
      <c r="AT93" s="102"/>
      <c r="AU93" s="24"/>
      <c r="AV93" s="24"/>
      <c r="AW93" s="24"/>
      <c r="AX93" s="24"/>
      <c r="AY93" s="24"/>
      <c r="AZ93" s="24"/>
      <c r="BA93" s="24"/>
      <c r="BB93" s="24"/>
      <c r="BC93" s="24"/>
      <c r="BD93" s="24"/>
      <c r="BE93" s="24"/>
      <c r="BF93" s="24"/>
      <c r="BG93" s="24"/>
      <c r="BH93" s="24"/>
      <c r="BI93" s="24"/>
      <c r="BJ93" s="24"/>
      <c r="BK93" s="24"/>
      <c r="BL93" s="24"/>
      <c r="BM93" s="24"/>
      <c r="BN93" s="24"/>
      <c r="BO93" s="24"/>
      <c r="BP93" s="24"/>
      <c r="BQ93" s="24"/>
      <c r="BR93" s="24"/>
      <c r="BS93" s="24"/>
      <c r="BT93" s="24"/>
      <c r="BU93" s="24"/>
      <c r="BV93" s="24"/>
      <c r="BW93" s="24"/>
      <c r="BX93" s="24"/>
      <c r="BY93" s="24"/>
      <c r="BZ93" s="24"/>
      <c r="CA93" s="24"/>
      <c r="CB93" s="24"/>
      <c r="CC93" s="24"/>
      <c r="CD93" s="24"/>
      <c r="CE93" s="24"/>
      <c r="CF93" s="24"/>
      <c r="CG93" s="24"/>
      <c r="CH93" s="24"/>
      <c r="CI93" s="24"/>
      <c r="CJ93" s="24"/>
    </row>
    <row r="94" spans="3:88" ht="15" customHeight="1" x14ac:dyDescent="0.3">
      <c r="AR94" s="24"/>
      <c r="AS94" s="24"/>
      <c r="AT94" s="102"/>
      <c r="AU94" s="24"/>
      <c r="AV94" s="24"/>
      <c r="AW94" s="24"/>
      <c r="AX94" s="24"/>
      <c r="AY94" s="24"/>
      <c r="AZ94" s="24"/>
      <c r="BA94" s="24"/>
      <c r="BB94" s="24"/>
      <c r="BC94" s="24"/>
      <c r="BD94" s="24"/>
      <c r="BE94" s="24"/>
      <c r="BF94" s="24"/>
      <c r="BG94" s="24"/>
      <c r="BH94" s="24"/>
      <c r="BI94" s="24"/>
      <c r="BJ94" s="24"/>
      <c r="BK94" s="24"/>
      <c r="BL94" s="24"/>
      <c r="BM94" s="24"/>
      <c r="BN94" s="24"/>
      <c r="BO94" s="24"/>
      <c r="BP94" s="24"/>
      <c r="BQ94" s="24"/>
      <c r="BR94" s="24"/>
      <c r="BS94" s="24"/>
      <c r="BT94" s="24"/>
      <c r="BU94" s="24"/>
      <c r="BV94" s="24"/>
      <c r="BW94" s="24"/>
      <c r="BX94" s="24"/>
      <c r="BY94" s="24"/>
      <c r="BZ94" s="24"/>
      <c r="CA94" s="24"/>
      <c r="CB94" s="24"/>
      <c r="CC94" s="24"/>
      <c r="CD94" s="24"/>
      <c r="CE94" s="24"/>
      <c r="CF94" s="24"/>
      <c r="CG94" s="24"/>
      <c r="CH94" s="24"/>
      <c r="CI94" s="24"/>
      <c r="CJ94" s="24"/>
    </row>
    <row r="95" spans="3:88" ht="15" customHeight="1" x14ac:dyDescent="0.3">
      <c r="AR95" s="24"/>
      <c r="AS95" s="24"/>
      <c r="AT95" s="102"/>
      <c r="AU95" s="24"/>
      <c r="AV95" s="24"/>
      <c r="AW95" s="24"/>
      <c r="AX95" s="24"/>
      <c r="AY95" s="24"/>
      <c r="AZ95" s="24"/>
      <c r="BA95" s="24"/>
      <c r="BB95" s="24"/>
      <c r="BC95" s="24"/>
      <c r="BD95" s="24"/>
      <c r="BE95" s="24"/>
      <c r="BF95" s="24"/>
      <c r="BG95" s="24"/>
      <c r="BH95" s="24"/>
      <c r="BI95" s="24"/>
      <c r="BJ95" s="24"/>
      <c r="BK95" s="24"/>
      <c r="BL95" s="24"/>
      <c r="BM95" s="24"/>
      <c r="BN95" s="24"/>
      <c r="BO95" s="24"/>
      <c r="BP95" s="24"/>
      <c r="BQ95" s="24"/>
      <c r="BR95" s="24"/>
      <c r="BS95" s="24"/>
      <c r="BT95" s="24"/>
      <c r="BU95" s="24"/>
      <c r="BV95" s="24"/>
      <c r="BW95" s="24"/>
      <c r="BX95" s="24"/>
      <c r="BY95" s="24"/>
      <c r="BZ95" s="24"/>
      <c r="CA95" s="24"/>
      <c r="CB95" s="24"/>
      <c r="CC95" s="24"/>
      <c r="CD95" s="24"/>
      <c r="CE95" s="24"/>
      <c r="CF95" s="24"/>
      <c r="CG95" s="24"/>
      <c r="CH95" s="24"/>
      <c r="CI95" s="24"/>
      <c r="CJ95" s="24"/>
    </row>
    <row r="96" spans="3:88" ht="15" customHeight="1" x14ac:dyDescent="0.3">
      <c r="AR96" s="24"/>
      <c r="AS96" s="24"/>
      <c r="AT96" s="102"/>
      <c r="AU96" s="24"/>
      <c r="AV96" s="24"/>
      <c r="AW96" s="24"/>
      <c r="AX96" s="24"/>
      <c r="AY96" s="24"/>
      <c r="AZ96" s="24"/>
      <c r="BA96" s="24"/>
      <c r="BB96" s="24"/>
      <c r="BC96" s="24"/>
      <c r="BD96" s="24"/>
      <c r="BE96" s="24"/>
      <c r="BF96" s="24"/>
      <c r="BG96" s="24"/>
      <c r="BH96" s="24"/>
      <c r="BI96" s="24"/>
      <c r="BJ96" s="24"/>
      <c r="BK96" s="24"/>
      <c r="BL96" s="24"/>
      <c r="BM96" s="24"/>
      <c r="BN96" s="24"/>
      <c r="BO96" s="24"/>
      <c r="BP96" s="24"/>
      <c r="BQ96" s="24"/>
      <c r="BR96" s="24"/>
      <c r="BS96" s="24"/>
      <c r="BT96" s="24"/>
      <c r="BU96" s="24"/>
      <c r="BV96" s="24"/>
      <c r="BW96" s="24"/>
      <c r="BX96" s="24"/>
      <c r="BY96" s="24"/>
      <c r="BZ96" s="24"/>
      <c r="CA96" s="24"/>
      <c r="CB96" s="24"/>
      <c r="CC96" s="24"/>
      <c r="CD96" s="24"/>
      <c r="CE96" s="24"/>
      <c r="CF96" s="24"/>
      <c r="CG96" s="24"/>
      <c r="CH96" s="24"/>
      <c r="CI96" s="24"/>
      <c r="CJ96" s="24"/>
    </row>
    <row r="97" spans="2:88" ht="15" customHeight="1" x14ac:dyDescent="0.3">
      <c r="AR97" s="24"/>
      <c r="AS97" s="24"/>
      <c r="AT97" s="24"/>
      <c r="AU97" s="24"/>
      <c r="AV97" s="24"/>
      <c r="AW97" s="24"/>
      <c r="AX97" s="24"/>
      <c r="AY97" s="24"/>
      <c r="AZ97" s="24"/>
      <c r="BA97" s="24"/>
      <c r="BB97" s="24"/>
      <c r="BC97" s="24"/>
      <c r="BD97" s="24"/>
      <c r="BE97" s="24"/>
      <c r="BF97" s="24"/>
      <c r="BG97" s="24"/>
      <c r="BH97" s="24"/>
      <c r="BI97" s="24"/>
      <c r="BJ97" s="24"/>
      <c r="BK97" s="24"/>
      <c r="BL97" s="24"/>
      <c r="BM97" s="24"/>
      <c r="BN97" s="24"/>
      <c r="BO97" s="24"/>
      <c r="BP97" s="24"/>
      <c r="BQ97" s="24"/>
      <c r="BR97" s="24"/>
      <c r="BS97" s="24"/>
      <c r="BT97" s="24"/>
      <c r="BU97" s="24"/>
      <c r="BV97" s="24"/>
      <c r="BW97" s="24"/>
      <c r="BX97" s="24"/>
      <c r="BY97" s="24"/>
      <c r="BZ97" s="24"/>
      <c r="CA97" s="24"/>
      <c r="CB97" s="24"/>
      <c r="CC97" s="24"/>
      <c r="CD97" s="24"/>
      <c r="CE97" s="24"/>
      <c r="CF97" s="24"/>
      <c r="CG97" s="24"/>
      <c r="CH97" s="24"/>
      <c r="CI97" s="24"/>
      <c r="CJ97" s="24"/>
    </row>
    <row r="98" spans="2:88" ht="15" customHeight="1" x14ac:dyDescent="0.3">
      <c r="AR98" s="24"/>
      <c r="AS98" s="24"/>
      <c r="AT98" s="24"/>
      <c r="AU98" s="24"/>
      <c r="AV98" s="24"/>
      <c r="AW98" s="24"/>
      <c r="AX98" s="24"/>
      <c r="AY98" s="24"/>
      <c r="AZ98" s="24"/>
      <c r="BA98" s="24"/>
      <c r="BB98" s="24"/>
      <c r="BC98" s="24"/>
      <c r="BD98" s="24"/>
      <c r="BE98" s="24"/>
      <c r="BF98" s="24"/>
      <c r="BG98" s="24"/>
      <c r="BH98" s="24"/>
      <c r="BI98" s="24"/>
      <c r="BJ98" s="24"/>
      <c r="BK98" s="24"/>
      <c r="BL98" s="24"/>
      <c r="BM98" s="24"/>
      <c r="BN98" s="24"/>
      <c r="BO98" s="24"/>
      <c r="BP98" s="24"/>
      <c r="BQ98" s="24"/>
      <c r="BR98" s="24"/>
      <c r="BS98" s="24"/>
      <c r="BT98" s="24"/>
      <c r="BU98" s="24"/>
      <c r="BV98" s="24"/>
      <c r="BW98" s="24"/>
      <c r="BX98" s="24"/>
      <c r="BY98" s="24"/>
      <c r="BZ98" s="24"/>
      <c r="CA98" s="24"/>
      <c r="CB98" s="24"/>
      <c r="CC98" s="24"/>
      <c r="CD98" s="24"/>
      <c r="CE98" s="24"/>
      <c r="CF98" s="24"/>
      <c r="CG98" s="24"/>
      <c r="CH98" s="24"/>
      <c r="CI98" s="24"/>
      <c r="CJ98" s="24"/>
    </row>
    <row r="99" spans="2:88" ht="15" customHeight="1" x14ac:dyDescent="0.3">
      <c r="AR99" s="24"/>
      <c r="AS99" s="24"/>
      <c r="AT99" s="24"/>
      <c r="AU99" s="24"/>
      <c r="AV99" s="24"/>
      <c r="AW99" s="24"/>
      <c r="AX99" s="24"/>
      <c r="AY99" s="24"/>
      <c r="AZ99" s="24"/>
      <c r="BA99" s="24"/>
      <c r="BB99" s="24"/>
      <c r="BC99" s="24"/>
      <c r="BD99" s="24"/>
      <c r="BE99" s="24"/>
      <c r="BF99" s="24"/>
      <c r="BG99" s="24"/>
      <c r="BH99" s="24"/>
      <c r="BI99" s="24"/>
      <c r="BJ99" s="24"/>
      <c r="BK99" s="24"/>
      <c r="BL99" s="24"/>
      <c r="BM99" s="24"/>
      <c r="BN99" s="24"/>
      <c r="BO99" s="24"/>
      <c r="BP99" s="24"/>
      <c r="BQ99" s="24"/>
      <c r="BR99" s="24"/>
      <c r="BS99" s="24"/>
      <c r="BT99" s="24"/>
      <c r="BU99" s="24"/>
      <c r="BV99" s="24"/>
      <c r="BW99" s="24"/>
      <c r="BX99" s="24"/>
      <c r="BY99" s="24"/>
      <c r="BZ99" s="24"/>
      <c r="CA99" s="24"/>
      <c r="CB99" s="24"/>
      <c r="CC99" s="24"/>
      <c r="CD99" s="24"/>
      <c r="CE99" s="24"/>
      <c r="CF99" s="24"/>
      <c r="CG99" s="24"/>
      <c r="CH99" s="24"/>
      <c r="CI99" s="24"/>
      <c r="CJ99" s="24"/>
    </row>
    <row r="100" spans="2:88" ht="15" customHeight="1" x14ac:dyDescent="0.3">
      <c r="AR100" s="24"/>
      <c r="AS100" s="24"/>
      <c r="AT100" s="24"/>
      <c r="AU100" s="24"/>
      <c r="AV100" s="24"/>
      <c r="AW100" s="24"/>
      <c r="AX100" s="24"/>
      <c r="AY100" s="24"/>
      <c r="AZ100" s="24"/>
      <c r="BA100" s="24"/>
      <c r="BB100" s="24"/>
      <c r="BC100" s="24"/>
      <c r="BD100" s="24"/>
      <c r="BE100" s="24"/>
      <c r="BF100" s="24"/>
      <c r="BG100" s="24"/>
      <c r="BH100" s="24"/>
      <c r="BI100" s="24"/>
      <c r="BJ100" s="24"/>
      <c r="BK100" s="24"/>
      <c r="BL100" s="24"/>
      <c r="BM100" s="24"/>
      <c r="BN100" s="24"/>
      <c r="BO100" s="24"/>
      <c r="BP100" s="24"/>
      <c r="BQ100" s="24"/>
      <c r="BR100" s="24"/>
      <c r="BS100" s="24"/>
      <c r="BT100" s="24"/>
      <c r="BU100" s="24"/>
      <c r="BV100" s="24"/>
      <c r="BW100" s="24"/>
      <c r="BX100" s="24"/>
      <c r="BY100" s="24"/>
      <c r="BZ100" s="24"/>
      <c r="CA100" s="24"/>
      <c r="CB100" s="24"/>
      <c r="CC100" s="24"/>
      <c r="CD100" s="24"/>
      <c r="CE100" s="24"/>
      <c r="CF100" s="24"/>
      <c r="CG100" s="24"/>
      <c r="CH100" s="24"/>
      <c r="CI100" s="24"/>
      <c r="CJ100" s="24"/>
    </row>
    <row r="101" spans="2:88" ht="15" customHeight="1" x14ac:dyDescent="0.3">
      <c r="AR101" s="24"/>
      <c r="AS101" s="24"/>
      <c r="AT101" s="24"/>
      <c r="AU101" s="24"/>
      <c r="AV101" s="24"/>
      <c r="AW101" s="24"/>
      <c r="AX101" s="24"/>
      <c r="AY101" s="24"/>
      <c r="AZ101" s="24"/>
      <c r="BA101" s="24"/>
      <c r="BB101" s="24"/>
      <c r="BC101" s="24"/>
      <c r="BD101" s="24"/>
      <c r="BE101" s="24"/>
      <c r="BF101" s="24"/>
      <c r="BG101" s="24"/>
      <c r="BH101" s="24"/>
      <c r="BI101" s="24"/>
      <c r="BJ101" s="24"/>
      <c r="BK101" s="24"/>
      <c r="BL101" s="24"/>
      <c r="BM101" s="24"/>
      <c r="BN101" s="24"/>
      <c r="BO101" s="24"/>
      <c r="BP101" s="24"/>
      <c r="BQ101" s="24"/>
      <c r="BR101" s="24"/>
      <c r="BS101" s="24"/>
      <c r="BT101" s="24"/>
      <c r="BU101" s="24"/>
      <c r="BV101" s="24"/>
      <c r="BW101" s="24"/>
      <c r="BX101" s="24"/>
      <c r="BY101" s="24"/>
      <c r="BZ101" s="24"/>
      <c r="CA101" s="24"/>
      <c r="CB101" s="24"/>
      <c r="CC101" s="24"/>
      <c r="CD101" s="24"/>
      <c r="CE101" s="24"/>
      <c r="CF101" s="24"/>
      <c r="CG101" s="24"/>
      <c r="CH101" s="24"/>
      <c r="CI101" s="24"/>
      <c r="CJ101" s="24"/>
    </row>
    <row r="102" spans="2:88" ht="15" customHeight="1" x14ac:dyDescent="0.3">
      <c r="AR102" s="24"/>
      <c r="AS102" s="24"/>
      <c r="AT102" s="24"/>
      <c r="AU102" s="24"/>
      <c r="AV102" s="24"/>
      <c r="AW102" s="24"/>
      <c r="AX102" s="24"/>
      <c r="AY102" s="24"/>
      <c r="AZ102" s="24"/>
      <c r="BA102" s="24"/>
      <c r="BB102" s="24"/>
      <c r="BC102" s="24"/>
      <c r="BD102" s="24"/>
      <c r="BE102" s="24"/>
      <c r="BF102" s="24"/>
      <c r="BG102" s="24"/>
      <c r="BH102" s="24"/>
      <c r="BI102" s="24"/>
      <c r="BJ102" s="24"/>
      <c r="BK102" s="24"/>
      <c r="BL102" s="24"/>
      <c r="BM102" s="24"/>
      <c r="BN102" s="24"/>
      <c r="BO102" s="24"/>
      <c r="BP102" s="24"/>
      <c r="BQ102" s="24"/>
      <c r="BR102" s="24"/>
      <c r="BS102" s="24"/>
      <c r="BT102" s="24"/>
      <c r="BU102" s="24"/>
      <c r="BV102" s="24"/>
      <c r="BW102" s="24"/>
      <c r="BX102" s="24"/>
      <c r="BY102" s="24"/>
      <c r="BZ102" s="24"/>
      <c r="CA102" s="24"/>
      <c r="CB102" s="24"/>
      <c r="CC102" s="24"/>
      <c r="CD102" s="24"/>
      <c r="CE102" s="24"/>
      <c r="CF102" s="24"/>
      <c r="CG102" s="24"/>
      <c r="CH102" s="24"/>
      <c r="CI102" s="24"/>
      <c r="CJ102" s="24"/>
    </row>
    <row r="103" spans="2:88" ht="15" customHeight="1" x14ac:dyDescent="0.3">
      <c r="AR103" s="24"/>
      <c r="AS103" s="24"/>
      <c r="AT103" s="24"/>
      <c r="AU103" s="24"/>
      <c r="AV103" s="24"/>
      <c r="AW103" s="24"/>
      <c r="AX103" s="24"/>
      <c r="AY103" s="24"/>
      <c r="AZ103" s="24"/>
      <c r="BA103" s="24"/>
      <c r="BB103" s="24"/>
      <c r="BC103" s="24"/>
      <c r="BD103" s="24"/>
      <c r="BE103" s="24"/>
      <c r="BF103" s="24"/>
      <c r="BG103" s="24"/>
      <c r="BH103" s="24"/>
      <c r="BI103" s="24"/>
      <c r="BJ103" s="24"/>
      <c r="BK103" s="24"/>
      <c r="BL103" s="24"/>
      <c r="BM103" s="24"/>
      <c r="BN103" s="24"/>
      <c r="BO103" s="24"/>
      <c r="BP103" s="24"/>
      <c r="BQ103" s="24"/>
      <c r="BR103" s="24"/>
      <c r="BS103" s="24"/>
      <c r="BT103" s="24"/>
      <c r="BU103" s="24"/>
      <c r="BV103" s="24"/>
      <c r="BW103" s="24"/>
      <c r="BX103" s="24"/>
      <c r="BY103" s="24"/>
      <c r="BZ103" s="24"/>
      <c r="CA103" s="24"/>
      <c r="CB103" s="24"/>
      <c r="CC103" s="24"/>
      <c r="CD103" s="24"/>
      <c r="CE103" s="24"/>
      <c r="CF103" s="24"/>
      <c r="CG103" s="24"/>
      <c r="CH103" s="24"/>
      <c r="CI103" s="24"/>
      <c r="CJ103" s="24"/>
    </row>
    <row r="104" spans="2:88" ht="15" customHeight="1" x14ac:dyDescent="0.3">
      <c r="AR104" s="24"/>
      <c r="AS104" s="24"/>
      <c r="AT104" s="24"/>
      <c r="AU104" s="24"/>
      <c r="AV104" s="24"/>
      <c r="AW104" s="24"/>
      <c r="AX104" s="24"/>
      <c r="AY104" s="24"/>
      <c r="AZ104" s="24"/>
      <c r="BA104" s="24"/>
      <c r="BB104" s="24"/>
      <c r="BC104" s="24"/>
      <c r="BD104" s="24"/>
      <c r="BE104" s="24"/>
      <c r="BF104" s="24"/>
      <c r="BG104" s="24"/>
      <c r="BH104" s="24"/>
      <c r="BI104" s="24"/>
      <c r="BJ104" s="24"/>
      <c r="BK104" s="24"/>
      <c r="BL104" s="24"/>
      <c r="BM104" s="24"/>
      <c r="BN104" s="24"/>
      <c r="BO104" s="24"/>
      <c r="BP104" s="24"/>
      <c r="BQ104" s="24"/>
      <c r="BR104" s="24"/>
      <c r="BS104" s="24"/>
      <c r="BT104" s="24"/>
      <c r="BU104" s="24"/>
      <c r="BV104" s="24"/>
      <c r="BW104" s="24"/>
      <c r="BX104" s="24"/>
      <c r="BY104" s="24"/>
      <c r="BZ104" s="24"/>
      <c r="CA104" s="24"/>
      <c r="CB104" s="24"/>
      <c r="CC104" s="24"/>
      <c r="CD104" s="24"/>
      <c r="CE104" s="24"/>
      <c r="CF104" s="24"/>
      <c r="CG104" s="24"/>
      <c r="CH104" s="24"/>
      <c r="CI104" s="24"/>
      <c r="CJ104" s="24"/>
    </row>
    <row r="105" spans="2:88" ht="15" customHeight="1" x14ac:dyDescent="0.3">
      <c r="AR105" s="24"/>
      <c r="AS105" s="24"/>
      <c r="AT105" s="24"/>
      <c r="AU105" s="24"/>
      <c r="AV105" s="24"/>
      <c r="AW105" s="24"/>
      <c r="AX105" s="24"/>
      <c r="AY105" s="24"/>
      <c r="AZ105" s="24"/>
      <c r="BA105" s="24"/>
      <c r="BB105" s="24"/>
      <c r="BC105" s="24"/>
      <c r="BD105" s="24"/>
      <c r="BE105" s="24"/>
      <c r="BF105" s="24"/>
      <c r="BG105" s="24"/>
      <c r="BH105" s="24"/>
      <c r="BI105" s="24"/>
      <c r="BJ105" s="24"/>
      <c r="BK105" s="24"/>
      <c r="BL105" s="24"/>
      <c r="BM105" s="24"/>
      <c r="BN105" s="24"/>
      <c r="BO105" s="24"/>
      <c r="BP105" s="24"/>
      <c r="BQ105" s="24"/>
      <c r="BR105" s="24"/>
      <c r="BS105" s="24"/>
      <c r="BT105" s="24"/>
      <c r="BU105" s="24"/>
      <c r="BV105" s="24"/>
      <c r="BW105" s="24"/>
      <c r="BX105" s="24"/>
      <c r="BY105" s="24"/>
      <c r="BZ105" s="24"/>
      <c r="CA105" s="24"/>
      <c r="CB105" s="24"/>
      <c r="CC105" s="24"/>
      <c r="CD105" s="24"/>
      <c r="CE105" s="24"/>
      <c r="CF105" s="24"/>
      <c r="CG105" s="24"/>
      <c r="CH105" s="24"/>
      <c r="CI105" s="24"/>
      <c r="CJ105" s="24"/>
    </row>
    <row r="106" spans="2:88" ht="15" customHeight="1" x14ac:dyDescent="0.3">
      <c r="AR106" s="24"/>
      <c r="AS106" s="24"/>
      <c r="AT106" s="24"/>
      <c r="AU106" s="24"/>
      <c r="AV106" s="24"/>
      <c r="AW106" s="24"/>
      <c r="AX106" s="24"/>
      <c r="AY106" s="24"/>
      <c r="AZ106" s="24"/>
      <c r="BA106" s="24"/>
      <c r="BB106" s="24"/>
      <c r="BC106" s="24"/>
      <c r="BD106" s="24"/>
      <c r="BE106" s="24"/>
      <c r="BF106" s="24"/>
      <c r="BG106" s="24"/>
      <c r="BH106" s="24"/>
      <c r="BI106" s="24"/>
      <c r="BJ106" s="24"/>
      <c r="BK106" s="24"/>
      <c r="BL106" s="24"/>
      <c r="BM106" s="24"/>
      <c r="BN106" s="24"/>
      <c r="BO106" s="24"/>
      <c r="BP106" s="24"/>
      <c r="BQ106" s="24"/>
      <c r="BR106" s="24"/>
      <c r="BS106" s="24"/>
      <c r="BT106" s="24"/>
      <c r="BU106" s="24"/>
      <c r="BV106" s="24"/>
      <c r="BW106" s="24"/>
      <c r="BX106" s="24"/>
      <c r="BY106" s="24"/>
      <c r="BZ106" s="24"/>
      <c r="CA106" s="24"/>
      <c r="CB106" s="24"/>
      <c r="CC106" s="24"/>
      <c r="CD106" s="24"/>
      <c r="CE106" s="24"/>
      <c r="CF106" s="24"/>
      <c r="CG106" s="24"/>
      <c r="CH106" s="24"/>
      <c r="CI106" s="24"/>
      <c r="CJ106" s="24"/>
    </row>
    <row r="107" spans="2:88" ht="15" customHeight="1" x14ac:dyDescent="0.3">
      <c r="AR107" s="24"/>
      <c r="AS107" s="24"/>
      <c r="AT107" s="24"/>
      <c r="AU107" s="24"/>
      <c r="AV107" s="24"/>
      <c r="AW107" s="24"/>
      <c r="AX107" s="24"/>
      <c r="AY107" s="24"/>
      <c r="AZ107" s="24"/>
      <c r="BA107" s="24"/>
      <c r="BB107" s="24"/>
      <c r="BC107" s="24"/>
      <c r="BD107" s="24"/>
      <c r="BE107" s="24"/>
      <c r="BF107" s="24"/>
      <c r="BG107" s="24"/>
      <c r="BH107" s="24"/>
      <c r="BI107" s="24"/>
      <c r="BJ107" s="24"/>
      <c r="BK107" s="24"/>
      <c r="BL107" s="24"/>
      <c r="BM107" s="24"/>
      <c r="BN107" s="24"/>
      <c r="BO107" s="24"/>
      <c r="BP107" s="24"/>
      <c r="BQ107" s="24"/>
      <c r="BR107" s="24"/>
      <c r="BS107" s="24"/>
      <c r="BT107" s="24"/>
      <c r="BU107" s="24"/>
      <c r="BV107" s="24"/>
      <c r="BW107" s="24"/>
      <c r="BX107" s="24"/>
      <c r="BY107" s="24"/>
      <c r="BZ107" s="24"/>
      <c r="CA107" s="24"/>
      <c r="CB107" s="24"/>
      <c r="CC107" s="24"/>
      <c r="CD107" s="24"/>
      <c r="CE107" s="24"/>
      <c r="CF107" s="24"/>
      <c r="CG107" s="24"/>
      <c r="CH107" s="24"/>
      <c r="CI107" s="24"/>
      <c r="CJ107" s="24"/>
    </row>
    <row r="108" spans="2:88" ht="15" customHeight="1" x14ac:dyDescent="0.3">
      <c r="AR108" s="24"/>
      <c r="AS108" s="24"/>
      <c r="AT108" s="24"/>
      <c r="AU108" s="24"/>
      <c r="AV108" s="24"/>
      <c r="AW108" s="24"/>
      <c r="AX108" s="24"/>
      <c r="AY108" s="24"/>
      <c r="AZ108" s="24"/>
      <c r="BA108" s="24"/>
      <c r="BB108" s="24"/>
      <c r="BC108" s="24"/>
      <c r="BD108" s="24"/>
      <c r="BE108" s="24"/>
      <c r="BF108" s="24"/>
      <c r="BG108" s="24"/>
      <c r="BH108" s="24"/>
      <c r="BI108" s="24"/>
      <c r="BJ108" s="24"/>
      <c r="BK108" s="24"/>
      <c r="BL108" s="24"/>
      <c r="BM108" s="24"/>
      <c r="BN108" s="24"/>
      <c r="BO108" s="24"/>
      <c r="BP108" s="24"/>
      <c r="BQ108" s="24"/>
      <c r="BR108" s="24"/>
      <c r="BS108" s="24"/>
      <c r="BT108" s="24"/>
      <c r="BU108" s="24"/>
      <c r="BV108" s="24"/>
      <c r="BW108" s="24"/>
      <c r="BX108" s="24"/>
      <c r="BY108" s="24"/>
      <c r="BZ108" s="24"/>
      <c r="CA108" s="24"/>
      <c r="CB108" s="24"/>
      <c r="CC108" s="24"/>
      <c r="CD108" s="24"/>
      <c r="CE108" s="24"/>
      <c r="CF108" s="24"/>
      <c r="CG108" s="24"/>
      <c r="CH108" s="24"/>
      <c r="CI108" s="24"/>
      <c r="CJ108" s="24"/>
    </row>
    <row r="109" spans="2:88" ht="15" customHeight="1" x14ac:dyDescent="0.3">
      <c r="B109" s="194">
        <f>Tables!F13</f>
        <v>45931</v>
      </c>
      <c r="C109" s="194"/>
      <c r="D109" s="194"/>
      <c r="E109" s="194"/>
      <c r="F109" s="194"/>
      <c r="G109" s="194"/>
      <c r="H109" s="194"/>
      <c r="R109" s="195" t="s">
        <v>321</v>
      </c>
      <c r="S109" s="195"/>
      <c r="T109" s="195"/>
      <c r="U109" s="195"/>
      <c r="AR109" s="24"/>
      <c r="AS109" s="24"/>
      <c r="AT109" s="24"/>
      <c r="AU109" s="24"/>
      <c r="AV109" s="24"/>
      <c r="AW109" s="24"/>
      <c r="AX109" s="24"/>
      <c r="AY109" s="24"/>
      <c r="AZ109" s="24"/>
      <c r="BA109" s="24"/>
      <c r="BB109" s="24"/>
      <c r="BC109" s="24"/>
      <c r="BD109" s="24"/>
      <c r="BE109" s="24"/>
      <c r="BF109" s="24"/>
      <c r="BG109" s="24"/>
      <c r="BH109" s="24"/>
      <c r="BI109" s="24"/>
      <c r="BJ109" s="24"/>
      <c r="BK109" s="24"/>
      <c r="BL109" s="24"/>
      <c r="BM109" s="24"/>
      <c r="BN109" s="24"/>
      <c r="BO109" s="24"/>
      <c r="BP109" s="24"/>
      <c r="BQ109" s="24"/>
      <c r="BR109" s="24"/>
      <c r="BS109" s="24"/>
      <c r="BT109" s="24"/>
      <c r="BU109" s="24"/>
      <c r="BV109" s="24"/>
      <c r="BW109" s="24"/>
      <c r="BX109" s="24"/>
      <c r="BY109" s="24"/>
      <c r="BZ109" s="24"/>
      <c r="CA109" s="24"/>
      <c r="CB109" s="24"/>
      <c r="CC109" s="24"/>
      <c r="CD109" s="24"/>
      <c r="CE109" s="24"/>
      <c r="CF109" s="24"/>
      <c r="CG109" s="24"/>
      <c r="CH109" s="24"/>
      <c r="CI109" s="24"/>
      <c r="CJ109" s="24"/>
    </row>
    <row r="110" spans="2:88" ht="15" customHeight="1" x14ac:dyDescent="0.3">
      <c r="AR110" s="24"/>
      <c r="AS110" s="24"/>
      <c r="AT110" s="24"/>
      <c r="AU110" s="24"/>
      <c r="AV110" s="24"/>
      <c r="AW110" s="24"/>
      <c r="AX110" s="24"/>
      <c r="AY110" s="24"/>
      <c r="AZ110" s="24"/>
      <c r="BA110" s="24"/>
      <c r="BB110" s="24"/>
      <c r="BC110" s="24"/>
      <c r="BD110" s="24"/>
      <c r="BE110" s="24"/>
      <c r="BF110" s="24"/>
      <c r="BG110" s="24"/>
      <c r="BH110" s="24"/>
      <c r="BI110" s="24"/>
      <c r="BJ110" s="24"/>
      <c r="BK110" s="24"/>
      <c r="BL110" s="24"/>
      <c r="BM110" s="24"/>
      <c r="BN110" s="24"/>
      <c r="BO110" s="24"/>
      <c r="BP110" s="24"/>
      <c r="BQ110" s="24"/>
      <c r="BR110" s="24"/>
      <c r="BS110" s="24"/>
      <c r="BT110" s="24"/>
      <c r="BU110" s="24"/>
      <c r="BV110" s="24"/>
      <c r="BW110" s="24"/>
      <c r="BX110" s="24"/>
      <c r="BY110" s="24"/>
      <c r="BZ110" s="24"/>
      <c r="CA110" s="24"/>
      <c r="CB110" s="24"/>
      <c r="CC110" s="24"/>
      <c r="CD110" s="24"/>
      <c r="CE110" s="24"/>
      <c r="CF110" s="24"/>
      <c r="CG110" s="24"/>
      <c r="CH110" s="24"/>
      <c r="CI110" s="24"/>
      <c r="CJ110" s="24"/>
    </row>
    <row r="111" spans="2:88" ht="15" customHeight="1" x14ac:dyDescent="0.3">
      <c r="AR111" s="24"/>
      <c r="AS111" s="24"/>
      <c r="AT111" s="24"/>
      <c r="AU111" s="24"/>
      <c r="AV111" s="24"/>
      <c r="AW111" s="24"/>
      <c r="AX111" s="24"/>
      <c r="AY111" s="24"/>
      <c r="AZ111" s="24"/>
      <c r="BA111" s="24"/>
      <c r="BB111" s="24"/>
      <c r="BC111" s="24"/>
      <c r="BD111" s="24"/>
      <c r="BE111" s="24"/>
      <c r="BF111" s="24"/>
      <c r="BG111" s="24"/>
      <c r="BH111" s="24"/>
      <c r="BI111" s="24"/>
      <c r="BJ111" s="24"/>
      <c r="BK111" s="24"/>
      <c r="BL111" s="24"/>
      <c r="BM111" s="24"/>
      <c r="BN111" s="24"/>
      <c r="BO111" s="24"/>
      <c r="BP111" s="24"/>
      <c r="BQ111" s="24"/>
      <c r="BR111" s="24"/>
      <c r="BS111" s="24"/>
      <c r="BT111" s="24"/>
      <c r="BU111" s="24"/>
      <c r="BV111" s="24"/>
      <c r="BW111" s="24"/>
      <c r="BX111" s="24"/>
      <c r="BY111" s="24"/>
      <c r="BZ111" s="24"/>
      <c r="CA111" s="24"/>
      <c r="CB111" s="24"/>
      <c r="CC111" s="24"/>
      <c r="CD111" s="24"/>
      <c r="CE111" s="24"/>
      <c r="CF111" s="24"/>
      <c r="CG111" s="24"/>
      <c r="CH111" s="24"/>
      <c r="CI111" s="24"/>
      <c r="CJ111" s="24"/>
    </row>
    <row r="112" spans="2:88" ht="15" customHeight="1" x14ac:dyDescent="0.3">
      <c r="AR112" s="24"/>
      <c r="AS112" s="24"/>
      <c r="AT112" s="24"/>
      <c r="AU112" s="24"/>
      <c r="AV112" s="24"/>
      <c r="AW112" s="24"/>
      <c r="AX112" s="24"/>
      <c r="AY112" s="24"/>
      <c r="AZ112" s="24"/>
      <c r="BA112" s="24"/>
      <c r="BB112" s="24"/>
      <c r="BC112" s="24"/>
      <c r="BD112" s="24"/>
      <c r="BE112" s="24"/>
      <c r="BF112" s="24"/>
      <c r="BG112" s="24"/>
      <c r="BH112" s="24"/>
      <c r="BI112" s="24"/>
      <c r="BJ112" s="24"/>
      <c r="BK112" s="24"/>
      <c r="BL112" s="24"/>
      <c r="BM112" s="24"/>
      <c r="BN112" s="24"/>
      <c r="BO112" s="24"/>
      <c r="BP112" s="24"/>
      <c r="BQ112" s="24"/>
      <c r="BR112" s="24"/>
      <c r="BS112" s="24"/>
      <c r="BT112" s="24"/>
      <c r="BU112" s="24"/>
      <c r="BV112" s="24"/>
      <c r="BW112" s="24"/>
      <c r="BX112" s="24"/>
      <c r="BY112" s="24"/>
      <c r="BZ112" s="24"/>
      <c r="CA112" s="24"/>
      <c r="CB112" s="24"/>
      <c r="CC112" s="24"/>
      <c r="CD112" s="24"/>
      <c r="CE112" s="24"/>
      <c r="CF112" s="24"/>
      <c r="CG112" s="24"/>
      <c r="CH112" s="24"/>
      <c r="CI112" s="24"/>
      <c r="CJ112" s="24"/>
    </row>
  </sheetData>
  <sheetProtection algorithmName="SHA-512" hashValue="EmOs/5865Yid3ze0Ai0BMUFrRmSsVxqQUXRjePPP7kpZedFWkGbYoZTtl6A3KjlXDvE32ZUreZJZr31Joc7cng==" saltValue="ARI8d2c5rXsg+fp2MfHupQ==" spinCount="100000" sheet="1" objects="1" scenarios="1" selectLockedCells="1"/>
  <mergeCells count="163">
    <mergeCell ref="B42:D42"/>
    <mergeCell ref="B44:D44"/>
    <mergeCell ref="B46:D46"/>
    <mergeCell ref="B48:D48"/>
    <mergeCell ref="B50:D50"/>
    <mergeCell ref="B52:D52"/>
    <mergeCell ref="B24:D24"/>
    <mergeCell ref="B26:D26"/>
    <mergeCell ref="B28:D28"/>
    <mergeCell ref="B30:D30"/>
    <mergeCell ref="B32:D32"/>
    <mergeCell ref="B34:D34"/>
    <mergeCell ref="B36:D36"/>
    <mergeCell ref="B38:D38"/>
    <mergeCell ref="B40:D40"/>
    <mergeCell ref="AB44:AC44"/>
    <mergeCell ref="K22:M22"/>
    <mergeCell ref="AB28:AC28"/>
    <mergeCell ref="AB30:AC30"/>
    <mergeCell ref="AB32:AC32"/>
    <mergeCell ref="AB34:AC34"/>
    <mergeCell ref="AB36:AC36"/>
    <mergeCell ref="AB38:AC38"/>
    <mergeCell ref="AB40:AC40"/>
    <mergeCell ref="AB42:AC42"/>
    <mergeCell ref="Y22:AA22"/>
    <mergeCell ref="R22:T22"/>
    <mergeCell ref="AB24:AC24"/>
    <mergeCell ref="AB26:AC26"/>
    <mergeCell ref="B63:H63"/>
    <mergeCell ref="R63:U63"/>
    <mergeCell ref="F52:H52"/>
    <mergeCell ref="K52:M52"/>
    <mergeCell ref="N52:O52"/>
    <mergeCell ref="R52:T52"/>
    <mergeCell ref="U52:V52"/>
    <mergeCell ref="Y52:AA52"/>
    <mergeCell ref="AB46:AC46"/>
    <mergeCell ref="AB48:AC48"/>
    <mergeCell ref="AB50:AC50"/>
    <mergeCell ref="AB52:AC52"/>
    <mergeCell ref="AB54:AC54"/>
    <mergeCell ref="R55:T55"/>
    <mergeCell ref="Y55:AA55"/>
    <mergeCell ref="K54:M54"/>
    <mergeCell ref="N54:O54"/>
    <mergeCell ref="R54:T54"/>
    <mergeCell ref="U54:V54"/>
    <mergeCell ref="Y54:AA54"/>
    <mergeCell ref="F50:H50"/>
    <mergeCell ref="K50:M50"/>
    <mergeCell ref="N50:O50"/>
    <mergeCell ref="R50:T50"/>
    <mergeCell ref="B109:H109"/>
    <mergeCell ref="R109:U109"/>
    <mergeCell ref="E82:K82"/>
    <mergeCell ref="O82:R82"/>
    <mergeCell ref="W82:Y82"/>
    <mergeCell ref="E83:Y83"/>
    <mergeCell ref="E84:I84"/>
    <mergeCell ref="AC86:AG86"/>
    <mergeCell ref="D64:Y64"/>
    <mergeCell ref="AE64:AJ64"/>
    <mergeCell ref="B67:AJ72"/>
    <mergeCell ref="E79:Y79"/>
    <mergeCell ref="E80:Y80"/>
    <mergeCell ref="E81:Y81"/>
    <mergeCell ref="U50:V50"/>
    <mergeCell ref="Y50:AA50"/>
    <mergeCell ref="F48:H48"/>
    <mergeCell ref="K48:M48"/>
    <mergeCell ref="N48:O48"/>
    <mergeCell ref="R48:T48"/>
    <mergeCell ref="U48:V48"/>
    <mergeCell ref="Y48:AA48"/>
    <mergeCell ref="F46:H46"/>
    <mergeCell ref="K46:M46"/>
    <mergeCell ref="N46:O46"/>
    <mergeCell ref="R46:T46"/>
    <mergeCell ref="U46:V46"/>
    <mergeCell ref="Y46:AA46"/>
    <mergeCell ref="F44:H44"/>
    <mergeCell ref="K44:M44"/>
    <mergeCell ref="N44:O44"/>
    <mergeCell ref="R44:T44"/>
    <mergeCell ref="U44:V44"/>
    <mergeCell ref="Y44:AA44"/>
    <mergeCell ref="F42:H42"/>
    <mergeCell ref="K42:M42"/>
    <mergeCell ref="N42:O42"/>
    <mergeCell ref="R42:T42"/>
    <mergeCell ref="U42:V42"/>
    <mergeCell ref="Y42:AA42"/>
    <mergeCell ref="F40:H40"/>
    <mergeCell ref="K40:M40"/>
    <mergeCell ref="N40:O40"/>
    <mergeCell ref="R40:T40"/>
    <mergeCell ref="U40:V40"/>
    <mergeCell ref="Y40:AA40"/>
    <mergeCell ref="F38:H38"/>
    <mergeCell ref="K38:M38"/>
    <mergeCell ref="N38:O38"/>
    <mergeCell ref="R38:T38"/>
    <mergeCell ref="U38:V38"/>
    <mergeCell ref="Y38:AA38"/>
    <mergeCell ref="F36:H36"/>
    <mergeCell ref="K36:M36"/>
    <mergeCell ref="N36:O36"/>
    <mergeCell ref="R36:T36"/>
    <mergeCell ref="U36:V36"/>
    <mergeCell ref="Y36:AA36"/>
    <mergeCell ref="F34:H34"/>
    <mergeCell ref="K34:M34"/>
    <mergeCell ref="N34:O34"/>
    <mergeCell ref="R34:T34"/>
    <mergeCell ref="U34:V34"/>
    <mergeCell ref="Y34:AA34"/>
    <mergeCell ref="F32:H32"/>
    <mergeCell ref="K32:M32"/>
    <mergeCell ref="N32:O32"/>
    <mergeCell ref="R32:T32"/>
    <mergeCell ref="U32:V32"/>
    <mergeCell ref="Y32:AA32"/>
    <mergeCell ref="F30:H30"/>
    <mergeCell ref="K30:M30"/>
    <mergeCell ref="N30:O30"/>
    <mergeCell ref="R30:T30"/>
    <mergeCell ref="U30:V30"/>
    <mergeCell ref="Y30:AA30"/>
    <mergeCell ref="F28:H28"/>
    <mergeCell ref="K28:M28"/>
    <mergeCell ref="N28:O28"/>
    <mergeCell ref="R28:T28"/>
    <mergeCell ref="U28:V28"/>
    <mergeCell ref="Y28:AA28"/>
    <mergeCell ref="AH14:AI14"/>
    <mergeCell ref="B23:D23"/>
    <mergeCell ref="F23:H23"/>
    <mergeCell ref="K23:M23"/>
    <mergeCell ref="R23:T23"/>
    <mergeCell ref="Y23:AA23"/>
    <mergeCell ref="F26:H26"/>
    <mergeCell ref="K26:M26"/>
    <mergeCell ref="N26:O26"/>
    <mergeCell ref="R26:T26"/>
    <mergeCell ref="U26:V26"/>
    <mergeCell ref="Y26:AA26"/>
    <mergeCell ref="F24:H24"/>
    <mergeCell ref="K24:M24"/>
    <mergeCell ref="N24:O24"/>
    <mergeCell ref="R24:T24"/>
    <mergeCell ref="U24:V24"/>
    <mergeCell ref="Y24:AA24"/>
    <mergeCell ref="T10:Y10"/>
    <mergeCell ref="N1:AK4"/>
    <mergeCell ref="AH12:AI12"/>
    <mergeCell ref="AE10:AJ10"/>
    <mergeCell ref="BD1:BZ4"/>
    <mergeCell ref="AR7:BF8"/>
    <mergeCell ref="E7:Y7"/>
    <mergeCell ref="AE7:AJ7"/>
    <mergeCell ref="E8:Y8"/>
    <mergeCell ref="T9:Y9"/>
  </mergeCells>
  <conditionalFormatting sqref="B16">
    <cfRule type="expression" dxfId="190" priority="53">
      <formula>$AN$16=2</formula>
    </cfRule>
    <cfRule type="expression" dxfId="189" priority="52">
      <formula>$AM$16=1</formula>
    </cfRule>
    <cfRule type="expression" dxfId="188" priority="51">
      <formula>$AP$16=3</formula>
    </cfRule>
  </conditionalFormatting>
  <conditionalFormatting sqref="B18">
    <cfRule type="expression" dxfId="187" priority="55">
      <formula>$AM$18=1</formula>
    </cfRule>
    <cfRule type="expression" dxfId="186" priority="54">
      <formula>$AP$18=3</formula>
    </cfRule>
    <cfRule type="expression" dxfId="185" priority="56">
      <formula>$AN$18=2</formula>
    </cfRule>
  </conditionalFormatting>
  <conditionalFormatting sqref="B20">
    <cfRule type="expression" dxfId="184" priority="59">
      <formula>$AN$20=2</formula>
    </cfRule>
    <cfRule type="expression" dxfId="183" priority="58">
      <formula>$AM$20=1</formula>
    </cfRule>
    <cfRule type="expression" dxfId="182" priority="57">
      <formula>$AP$20=3</formula>
    </cfRule>
  </conditionalFormatting>
  <conditionalFormatting sqref="B67:AJ72">
    <cfRule type="expression" dxfId="181" priority="50">
      <formula>$AM$67=2</formula>
    </cfRule>
    <cfRule type="cellIs" priority="49" stopIfTrue="1" operator="greaterThan">
      <formula>0</formula>
    </cfRule>
  </conditionalFormatting>
  <conditionalFormatting sqref="E16">
    <cfRule type="expression" dxfId="180" priority="61">
      <formula>$AP$16=3</formula>
    </cfRule>
    <cfRule type="expression" dxfId="179" priority="60">
      <formula>$AM$16=1</formula>
    </cfRule>
  </conditionalFormatting>
  <conditionalFormatting sqref="E18">
    <cfRule type="expression" dxfId="178" priority="63">
      <formula>$AP$18=3</formula>
    </cfRule>
    <cfRule type="expression" dxfId="177" priority="62">
      <formula>$AM$18=1</formula>
    </cfRule>
  </conditionalFormatting>
  <conditionalFormatting sqref="E20">
    <cfRule type="expression" dxfId="176" priority="65">
      <formula>$AP$20=3</formula>
    </cfRule>
    <cfRule type="expression" dxfId="175" priority="64">
      <formula>$AM$20=1</formula>
    </cfRule>
  </conditionalFormatting>
  <conditionalFormatting sqref="E79:E80">
    <cfRule type="expression" dxfId="174" priority="44">
      <formula>ISBLANK(E79)</formula>
    </cfRule>
  </conditionalFormatting>
  <conditionalFormatting sqref="E82:E84">
    <cfRule type="expression" dxfId="173" priority="39">
      <formula>ISBLANK(E82)</formula>
    </cfRule>
  </conditionalFormatting>
  <conditionalFormatting sqref="E7:Y8 T9:Y10">
    <cfRule type="cellIs" dxfId="172" priority="5" operator="equal">
      <formula>0</formula>
    </cfRule>
  </conditionalFormatting>
  <conditionalFormatting sqref="E81:Y81">
    <cfRule type="expression" dxfId="171" priority="42">
      <formula>ISBLANK(E81)</formula>
    </cfRule>
  </conditionalFormatting>
  <conditionalFormatting sqref="F10 I10">
    <cfRule type="expression" dxfId="170" priority="86">
      <formula>$AM$11=0</formula>
    </cfRule>
    <cfRule type="expression" dxfId="169" priority="85">
      <formula>$AP$11=3</formula>
    </cfRule>
  </conditionalFormatting>
  <conditionalFormatting sqref="F12">
    <cfRule type="expression" dxfId="168" priority="47">
      <formula>ISBLANK(F12)</formula>
    </cfRule>
  </conditionalFormatting>
  <conditionalFormatting sqref="F14">
    <cfRule type="expression" dxfId="167" priority="22">
      <formula>ISBLANK(F14)</formula>
    </cfRule>
  </conditionalFormatting>
  <conditionalFormatting sqref="F23:H23">
    <cfRule type="expression" dxfId="166" priority="30">
      <formula>$AO$14=3</formula>
    </cfRule>
    <cfRule type="expression" dxfId="165" priority="29">
      <formula>$AO$14=0</formula>
    </cfRule>
  </conditionalFormatting>
  <conditionalFormatting sqref="K24 R24 Y24 K26 R26 Y26 K28 R28 Y28 K30 R30 Y30 K32 R32 Y32 K34 R34 Y34 K36 R36 Y36 K38 R38 Y38 K40 R40 Y40 K42 R42 Y42 K44 R44 Y44 K46 R46 Y46 K48 R48 Y48 K50 R50 Y50 K52 R52 Y52">
    <cfRule type="expression" dxfId="164" priority="75">
      <formula>$AQ$11=1</formula>
    </cfRule>
    <cfRule type="expression" dxfId="163" priority="76">
      <formula>$AQ$11=2</formula>
    </cfRule>
  </conditionalFormatting>
  <conditionalFormatting sqref="K22:M22">
    <cfRule type="expression" dxfId="162" priority="7">
      <formula>$AO$14=3</formula>
    </cfRule>
    <cfRule type="expression" dxfId="161" priority="6">
      <formula>$AO$14=0</formula>
    </cfRule>
  </conditionalFormatting>
  <conditionalFormatting sqref="K54:M54">
    <cfRule type="expression" dxfId="160" priority="81">
      <formula>$AN$11=1</formula>
    </cfRule>
    <cfRule type="cellIs" dxfId="159" priority="84" operator="equal">
      <formula>0</formula>
    </cfRule>
    <cfRule type="cellIs" priority="83" stopIfTrue="1" operator="greaterThan">
      <formula>0</formula>
    </cfRule>
    <cfRule type="expression" dxfId="158" priority="82">
      <formula>$AO$11=2</formula>
    </cfRule>
  </conditionalFormatting>
  <conditionalFormatting sqref="N24 U24 N26 U26 AB26 N28 U28 AB28 N30 U30 AB30 N32 U32 AB32 N34 U34 AB34 N36 U36 AB36 N38 U38 AB38 N40 U40 AB40 N42 U42 AB42 N44 U44 AB44 N46 U46 AB46 N48 U48 AB48 N50 U50 AB50 N52 U52 AB52 N54">
    <cfRule type="expression" dxfId="157" priority="80">
      <formula>$AQ$11=3</formula>
    </cfRule>
    <cfRule type="expression" dxfId="156" priority="79">
      <formula>$AM$11=0</formula>
    </cfRule>
  </conditionalFormatting>
  <conditionalFormatting sqref="O82">
    <cfRule type="expression" dxfId="155" priority="40">
      <formula>ISBLANK(O82)</formula>
    </cfRule>
  </conditionalFormatting>
  <conditionalFormatting sqref="R54">
    <cfRule type="cellIs" priority="31" stopIfTrue="1" operator="greaterThan">
      <formula>0</formula>
    </cfRule>
    <cfRule type="cellIs" dxfId="154" priority="32" operator="equal">
      <formula>0</formula>
    </cfRule>
  </conditionalFormatting>
  <conditionalFormatting sqref="R54:T54">
    <cfRule type="expression" dxfId="153" priority="24">
      <formula>$AQ$11=1</formula>
    </cfRule>
    <cfRule type="expression" dxfId="152" priority="23">
      <formula>$AQ$11=2</formula>
    </cfRule>
  </conditionalFormatting>
  <conditionalFormatting sqref="R55:T55">
    <cfRule type="cellIs" dxfId="151" priority="9" operator="equal">
      <formula>0</formula>
    </cfRule>
  </conditionalFormatting>
  <conditionalFormatting sqref="U54">
    <cfRule type="expression" dxfId="150" priority="27">
      <formula>$AM$11=0</formula>
    </cfRule>
    <cfRule type="expression" dxfId="149" priority="28">
      <formula>$AQ$11=3</formula>
    </cfRule>
  </conditionalFormatting>
  <conditionalFormatting sqref="V12 V14">
    <cfRule type="expression" dxfId="148" priority="68">
      <formula>$AP$12=3</formula>
    </cfRule>
    <cfRule type="expression" dxfId="147" priority="69">
      <formula>$AM$12=0</formula>
    </cfRule>
  </conditionalFormatting>
  <conditionalFormatting sqref="W82">
    <cfRule type="expression" dxfId="146" priority="41">
      <formula>ISBLANK(W82)</formula>
    </cfRule>
  </conditionalFormatting>
  <conditionalFormatting sqref="Y54">
    <cfRule type="cellIs" dxfId="145" priority="15" operator="equal">
      <formula>0</formula>
    </cfRule>
    <cfRule type="cellIs" priority="14" stopIfTrue="1" operator="greaterThan">
      <formula>0</formula>
    </cfRule>
  </conditionalFormatting>
  <conditionalFormatting sqref="Y54:AA54">
    <cfRule type="expression" dxfId="144" priority="10">
      <formula>$AQ$11=2</formula>
    </cfRule>
    <cfRule type="expression" dxfId="143" priority="11">
      <formula>$AQ$11=1</formula>
    </cfRule>
  </conditionalFormatting>
  <conditionalFormatting sqref="Y55:AA55">
    <cfRule type="cellIs" dxfId="142" priority="8" operator="equal">
      <formula>0</formula>
    </cfRule>
  </conditionalFormatting>
  <conditionalFormatting sqref="AB24">
    <cfRule type="expression" dxfId="141" priority="20">
      <formula>$AM$11=0</formula>
    </cfRule>
    <cfRule type="expression" dxfId="140" priority="21">
      <formula>$AQ$11=3</formula>
    </cfRule>
  </conditionalFormatting>
  <conditionalFormatting sqref="AB54">
    <cfRule type="expression" dxfId="139" priority="13">
      <formula>$AQ$11=3</formula>
    </cfRule>
    <cfRule type="expression" dxfId="138" priority="12">
      <formula>$AM$11=0</formula>
    </cfRule>
  </conditionalFormatting>
  <conditionalFormatting sqref="AC86">
    <cfRule type="expression" dxfId="137" priority="43">
      <formula>ISBLANK(AC86)</formula>
    </cfRule>
  </conditionalFormatting>
  <conditionalFormatting sqref="AE24 AH24 AE26 AH26 AE28 AH28 AE30 AH30 AE32 AH32 AE34 AH34 AE36 AH36 AE38 AH38 AE40 AH40 AE42 AH42 AE44 AH44 AE46 AH46 AE48 AH48 AE50 AH50 AE52 AH52">
    <cfRule type="expression" priority="3" stopIfTrue="1">
      <formula>$AN24=1</formula>
    </cfRule>
    <cfRule type="expression" dxfId="136" priority="4">
      <formula>$AM24=2</formula>
    </cfRule>
  </conditionalFormatting>
  <conditionalFormatting sqref="AE7:AJ7 AE10:AJ10 D64">
    <cfRule type="cellIs" dxfId="135" priority="38" operator="equal">
      <formula>0</formula>
    </cfRule>
  </conditionalFormatting>
  <conditionalFormatting sqref="AE64:AJ64">
    <cfRule type="cellIs" dxfId="134" priority="37" operator="equal">
      <formula>0</formula>
    </cfRule>
  </conditionalFormatting>
  <conditionalFormatting sqref="AH12">
    <cfRule type="cellIs" priority="66" stopIfTrue="1" operator="greaterThan">
      <formula>0</formula>
    </cfRule>
    <cfRule type="expression" dxfId="133" priority="67">
      <formula>$AN$12=1</formula>
    </cfRule>
  </conditionalFormatting>
  <conditionalFormatting sqref="AH14">
    <cfRule type="cellIs" priority="70" stopIfTrue="1" operator="greaterThan">
      <formula>0</formula>
    </cfRule>
    <cfRule type="expression" dxfId="132" priority="71">
      <formula>$AO$12=1</formula>
    </cfRule>
  </conditionalFormatting>
  <conditionalFormatting sqref="AH24 AH26 AH28 AH30 AH32 AH34 AH36 AH38 AH40 AH42 AH44 AH46 AH48 AH50 AH52 AE24 AE26 AE28 AE30 AE32 AE34 AE36 AE38 AE40 AE42 AE44 AE46 AE48 AE50 AE52">
    <cfRule type="expression" dxfId="131" priority="2">
      <formula>$AP24=3</formula>
    </cfRule>
  </conditionalFormatting>
  <conditionalFormatting sqref="AH24 AH26 AH28 AH30 AH32 AH34 AH36 AH38 AH40 AH42 AH44 AH46 AH48 AH50 AH52">
    <cfRule type="expression" dxfId="130" priority="1">
      <formula>$AO24=2</formula>
    </cfRule>
  </conditionalFormatting>
  <printOptions horizontalCentered="1"/>
  <pageMargins left="0.25" right="0.25" top="0.25" bottom="0.25" header="0.3" footer="0.3"/>
  <pageSetup orientation="portrait" horizontalDpi="1200" verticalDpi="1200" r:id="rId1"/>
  <rowBreaks count="1" manualBreakCount="1">
    <brk id="63" max="16383" man="1"/>
  </rowBreaks>
  <drawing r:id="rId2"/>
  <legacyDrawing r:id="rId3"/>
  <extLst>
    <ext xmlns:x14="http://schemas.microsoft.com/office/spreadsheetml/2009/9/main" uri="{CCE6A557-97BC-4b89-ADB6-D9C93CAAB3DF}">
      <x14:dataValidations xmlns:xm="http://schemas.microsoft.com/office/excel/2006/main" count="1">
        <x14:dataValidation type="custom" allowBlank="1" showInputMessage="1" showErrorMessage="1" errorTitle="Workbook Locked" error="On the Instructions Tab, accept the conditions to use this form._x000a__x000a_                     OR_x000a__x000a_This form has expired.  Please obtain the latest version of this form." xr:uid="{AFCB988E-2B20-42E1-877B-21555F59161A}">
          <x14:formula1>
            <xm:f>Tables!$B$8</xm:f>
          </x14:formula1>
          <xm:sqref>A8:AC8 AK8:AL8 E10:J10 A9:AL9 A10:D11 K10:AL11 AE12:AL23 A1:AL7 B12:D22 Q12:AD55 AE53:AJ55 Q56:AJ1048576 AK53:AL1048576 E12:P1048576 A12:A1048576 B53:D1048576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440FC-239C-4B7E-928C-842CA3520C8D}">
  <sheetPr codeName="Sheet6">
    <tabColor theme="8" tint="0.39997558519241921"/>
  </sheetPr>
  <dimension ref="A1:CD243"/>
  <sheetViews>
    <sheetView showGridLines="0" showRowColHeaders="0" showZeros="0" zoomScale="150" zoomScaleNormal="150" workbookViewId="0">
      <selection activeCell="AF7" sqref="AF7:AK7"/>
    </sheetView>
  </sheetViews>
  <sheetFormatPr defaultColWidth="0" defaultRowHeight="0" customHeight="1" zeroHeight="1" x14ac:dyDescent="0.3"/>
  <cols>
    <col min="1" max="38" width="2.6640625" style="26" customWidth="1"/>
    <col min="39" max="39" width="10.33203125" style="20" hidden="1" customWidth="1"/>
    <col min="40" max="40" width="8.5546875" style="20" hidden="1" customWidth="1"/>
    <col min="41" max="41" width="9.109375" style="20" hidden="1" customWidth="1"/>
    <col min="42" max="44" width="7.21875" style="20" hidden="1" customWidth="1"/>
    <col min="45" max="45" width="11" style="20" hidden="1" customWidth="1"/>
    <col min="46" max="46" width="2.77734375" style="26" customWidth="1"/>
    <col min="47" max="47" width="2.77734375" style="21" customWidth="1"/>
    <col min="48" max="82" width="2.77734375" style="26" customWidth="1"/>
    <col min="83" max="16384" width="2.77734375" style="26" hidden="1"/>
  </cols>
  <sheetData>
    <row r="1" spans="1:81" ht="15" customHeight="1" x14ac:dyDescent="0.3">
      <c r="N1" s="3"/>
      <c r="O1" s="3"/>
      <c r="P1" s="3"/>
      <c r="Q1" s="3"/>
      <c r="R1" s="22"/>
      <c r="S1" s="215" t="s">
        <v>422</v>
      </c>
      <c r="T1" s="215"/>
      <c r="U1" s="215"/>
      <c r="V1" s="215"/>
      <c r="W1" s="215"/>
      <c r="X1" s="215"/>
      <c r="Y1" s="215"/>
      <c r="Z1" s="215"/>
      <c r="AA1" s="215"/>
      <c r="AB1" s="215"/>
      <c r="AC1" s="215"/>
      <c r="AD1" s="215"/>
      <c r="AE1" s="215"/>
      <c r="AF1" s="215"/>
      <c r="AG1" s="215"/>
      <c r="AH1" s="215"/>
      <c r="AI1" s="215"/>
      <c r="AJ1" s="215"/>
      <c r="AK1" s="215"/>
      <c r="AL1" s="215"/>
      <c r="BB1" s="22"/>
      <c r="BC1" s="22"/>
      <c r="BD1" s="22"/>
      <c r="BE1" s="22"/>
      <c r="BF1" s="22"/>
      <c r="BG1" s="22"/>
      <c r="BH1" s="22"/>
      <c r="BI1" s="22"/>
      <c r="BJ1" s="22"/>
      <c r="BK1" s="215" t="str">
        <f>S1</f>
        <v>Form 3F - Permeable Pavement
As-Built Certification Form</v>
      </c>
      <c r="BL1" s="215"/>
      <c r="BM1" s="215"/>
      <c r="BN1" s="215"/>
      <c r="BO1" s="215"/>
      <c r="BP1" s="215"/>
      <c r="BQ1" s="215"/>
      <c r="BR1" s="215"/>
      <c r="BS1" s="215"/>
      <c r="BT1" s="215"/>
      <c r="BU1" s="215"/>
      <c r="BV1" s="215"/>
      <c r="BW1" s="215"/>
      <c r="BX1" s="215"/>
      <c r="BY1" s="215"/>
      <c r="BZ1" s="215"/>
      <c r="CA1" s="215"/>
      <c r="CB1" s="215"/>
      <c r="CC1" s="215"/>
    </row>
    <row r="2" spans="1:81" ht="15" customHeight="1" x14ac:dyDescent="0.3">
      <c r="J2" s="3"/>
      <c r="K2" s="3"/>
      <c r="L2" s="3"/>
      <c r="M2" s="3"/>
      <c r="N2" s="3"/>
      <c r="O2" s="3"/>
      <c r="P2" s="3"/>
      <c r="Q2" s="3"/>
      <c r="R2" s="22"/>
      <c r="S2" s="215"/>
      <c r="T2" s="215"/>
      <c r="U2" s="215"/>
      <c r="V2" s="215"/>
      <c r="W2" s="215"/>
      <c r="X2" s="215"/>
      <c r="Y2" s="215"/>
      <c r="Z2" s="215"/>
      <c r="AA2" s="215"/>
      <c r="AB2" s="215"/>
      <c r="AC2" s="215"/>
      <c r="AD2" s="215"/>
      <c r="AE2" s="215"/>
      <c r="AF2" s="215"/>
      <c r="AG2" s="215"/>
      <c r="AH2" s="215"/>
      <c r="AI2" s="215"/>
      <c r="AJ2" s="215"/>
      <c r="AK2" s="215"/>
      <c r="AL2" s="215"/>
      <c r="BA2" s="22"/>
      <c r="BB2" s="22"/>
      <c r="BC2" s="22"/>
      <c r="BD2" s="22"/>
      <c r="BE2" s="22"/>
      <c r="BF2" s="22"/>
      <c r="BG2" s="22"/>
      <c r="BH2" s="22"/>
      <c r="BI2" s="22"/>
      <c r="BJ2" s="22"/>
      <c r="BK2" s="215"/>
      <c r="BL2" s="215"/>
      <c r="BM2" s="215"/>
      <c r="BN2" s="215"/>
      <c r="BO2" s="215"/>
      <c r="BP2" s="215"/>
      <c r="BQ2" s="215"/>
      <c r="BR2" s="215"/>
      <c r="BS2" s="215"/>
      <c r="BT2" s="215"/>
      <c r="BU2" s="215"/>
      <c r="BV2" s="215"/>
      <c r="BW2" s="215"/>
      <c r="BX2" s="215"/>
      <c r="BY2" s="215"/>
      <c r="BZ2" s="215"/>
      <c r="CA2" s="215"/>
      <c r="CB2" s="215"/>
      <c r="CC2" s="215"/>
    </row>
    <row r="3" spans="1:81" ht="15" customHeight="1" x14ac:dyDescent="0.3">
      <c r="J3" s="3"/>
      <c r="K3" s="3"/>
      <c r="L3" s="3"/>
      <c r="M3" s="3"/>
      <c r="N3" s="3"/>
      <c r="O3" s="3"/>
      <c r="P3" s="3"/>
      <c r="Q3" s="3"/>
      <c r="R3" s="22"/>
      <c r="S3" s="215"/>
      <c r="T3" s="215"/>
      <c r="U3" s="215"/>
      <c r="V3" s="215"/>
      <c r="W3" s="215"/>
      <c r="X3" s="215"/>
      <c r="Y3" s="215"/>
      <c r="Z3" s="215"/>
      <c r="AA3" s="215"/>
      <c r="AB3" s="215"/>
      <c r="AC3" s="215"/>
      <c r="AD3" s="215"/>
      <c r="AE3" s="215"/>
      <c r="AF3" s="215"/>
      <c r="AG3" s="215"/>
      <c r="AH3" s="215"/>
      <c r="AI3" s="215"/>
      <c r="AJ3" s="215"/>
      <c r="AK3" s="215"/>
      <c r="AL3" s="215"/>
      <c r="BA3" s="22"/>
      <c r="BB3" s="22"/>
      <c r="BC3" s="22"/>
      <c r="BD3" s="22"/>
      <c r="BE3" s="22"/>
      <c r="BF3" s="22"/>
      <c r="BG3" s="22"/>
      <c r="BH3" s="22"/>
      <c r="BI3" s="22"/>
      <c r="BJ3" s="22"/>
      <c r="BK3" s="215"/>
      <c r="BL3" s="215"/>
      <c r="BM3" s="215"/>
      <c r="BN3" s="215"/>
      <c r="BO3" s="215"/>
      <c r="BP3" s="215"/>
      <c r="BQ3" s="215"/>
      <c r="BR3" s="215"/>
      <c r="BS3" s="215"/>
      <c r="BT3" s="215"/>
      <c r="BU3" s="215"/>
      <c r="BV3" s="215"/>
      <c r="BW3" s="215"/>
      <c r="BX3" s="215"/>
      <c r="BY3" s="215"/>
      <c r="BZ3" s="215"/>
      <c r="CA3" s="215"/>
      <c r="CB3" s="215"/>
      <c r="CC3" s="215"/>
    </row>
    <row r="4" spans="1:81" ht="15" customHeight="1" x14ac:dyDescent="0.3">
      <c r="J4" s="3"/>
      <c r="K4" s="3"/>
      <c r="L4" s="3"/>
      <c r="M4" s="3"/>
      <c r="N4" s="3"/>
      <c r="O4" s="3"/>
      <c r="P4" s="3"/>
      <c r="Q4" s="3"/>
      <c r="R4" s="22"/>
      <c r="S4" s="215"/>
      <c r="T4" s="215"/>
      <c r="U4" s="215"/>
      <c r="V4" s="215"/>
      <c r="W4" s="215"/>
      <c r="X4" s="215"/>
      <c r="Y4" s="215"/>
      <c r="Z4" s="215"/>
      <c r="AA4" s="215"/>
      <c r="AB4" s="215"/>
      <c r="AC4" s="215"/>
      <c r="AD4" s="215"/>
      <c r="AE4" s="215"/>
      <c r="AF4" s="215"/>
      <c r="AG4" s="215"/>
      <c r="AH4" s="215"/>
      <c r="AI4" s="215"/>
      <c r="AJ4" s="215"/>
      <c r="AK4" s="215"/>
      <c r="AL4" s="215"/>
      <c r="BA4" s="22"/>
      <c r="BB4" s="22"/>
      <c r="BC4" s="22"/>
      <c r="BD4" s="22"/>
      <c r="BE4" s="22"/>
      <c r="BF4" s="22"/>
      <c r="BG4" s="22"/>
      <c r="BH4" s="22"/>
      <c r="BI4" s="22"/>
      <c r="BJ4" s="22"/>
      <c r="BK4" s="215"/>
      <c r="BL4" s="215"/>
      <c r="BM4" s="215"/>
      <c r="BN4" s="215"/>
      <c r="BO4" s="215"/>
      <c r="BP4" s="215"/>
      <c r="BQ4" s="215"/>
      <c r="BR4" s="215"/>
      <c r="BS4" s="215"/>
      <c r="BT4" s="215"/>
      <c r="BU4" s="215"/>
      <c r="BV4" s="215"/>
      <c r="BW4" s="215"/>
      <c r="BX4" s="215"/>
      <c r="BY4" s="215"/>
      <c r="BZ4" s="215"/>
      <c r="CA4" s="215"/>
      <c r="CB4" s="215"/>
      <c r="CC4" s="215"/>
    </row>
    <row r="5" spans="1:81" ht="4.95" customHeight="1" x14ac:dyDescent="0.3">
      <c r="J5" s="3"/>
      <c r="K5" s="3"/>
      <c r="L5" s="3"/>
      <c r="M5" s="3"/>
      <c r="N5" s="3"/>
      <c r="O5" s="3"/>
      <c r="P5" s="3"/>
      <c r="Q5" s="3"/>
      <c r="R5" s="23"/>
      <c r="S5" s="23"/>
      <c r="T5" s="23"/>
      <c r="U5" s="23"/>
      <c r="V5" s="23"/>
      <c r="W5" s="23"/>
      <c r="X5" s="23"/>
      <c r="Y5" s="23"/>
      <c r="Z5" s="23"/>
      <c r="AA5" s="23"/>
      <c r="AB5" s="23"/>
      <c r="AC5" s="23"/>
      <c r="AD5" s="23"/>
      <c r="AE5" s="23"/>
      <c r="AF5" s="23"/>
      <c r="AG5" s="23"/>
      <c r="AH5" s="23"/>
      <c r="AI5" s="23"/>
      <c r="AJ5" s="23"/>
      <c r="AK5" s="23"/>
    </row>
    <row r="6" spans="1:81" ht="15" customHeight="1" x14ac:dyDescent="0.3">
      <c r="A6" s="1" t="s">
        <v>0</v>
      </c>
      <c r="C6" s="1"/>
      <c r="D6" s="1"/>
      <c r="E6" s="1"/>
      <c r="F6" s="1"/>
      <c r="G6" s="1"/>
      <c r="H6" s="1"/>
      <c r="I6" s="1"/>
      <c r="AD6" s="2" t="s">
        <v>430</v>
      </c>
      <c r="AE6" s="257">
        <f>'Form 2F.1 - Design'!AD6</f>
        <v>0</v>
      </c>
      <c r="AF6" s="257"/>
      <c r="AG6" s="257"/>
      <c r="AH6" s="257"/>
      <c r="AI6" s="257"/>
      <c r="AJ6" s="257"/>
      <c r="AK6" s="257"/>
      <c r="AM6" s="89">
        <f>LEN(AE6)</f>
        <v>1</v>
      </c>
      <c r="AU6" s="226" t="s">
        <v>68</v>
      </c>
      <c r="AV6" s="226"/>
      <c r="AW6" s="226"/>
      <c r="AX6" s="226"/>
      <c r="AY6" s="226"/>
      <c r="AZ6" s="226"/>
      <c r="BA6" s="226"/>
      <c r="BB6" s="226"/>
      <c r="BC6" s="226"/>
      <c r="BD6" s="226"/>
      <c r="BE6" s="226"/>
      <c r="BF6" s="226"/>
    </row>
    <row r="7" spans="1:81" ht="15" customHeight="1" x14ac:dyDescent="0.3">
      <c r="C7" s="2"/>
      <c r="D7" s="2" t="s">
        <v>1</v>
      </c>
      <c r="E7" s="192">
        <f>'Form 2F.1 - Design'!$E$7</f>
        <v>0</v>
      </c>
      <c r="F7" s="192"/>
      <c r="G7" s="192"/>
      <c r="H7" s="192"/>
      <c r="I7" s="192"/>
      <c r="J7" s="192"/>
      <c r="K7" s="192"/>
      <c r="L7" s="192"/>
      <c r="M7" s="192"/>
      <c r="N7" s="192"/>
      <c r="O7" s="192"/>
      <c r="P7" s="192"/>
      <c r="Q7" s="192"/>
      <c r="R7" s="192"/>
      <c r="S7" s="192"/>
      <c r="T7" s="192"/>
      <c r="U7" s="192"/>
      <c r="V7" s="192"/>
      <c r="W7" s="192"/>
      <c r="X7" s="192"/>
      <c r="Y7" s="192"/>
      <c r="Z7" s="192"/>
      <c r="AE7" s="2" t="s">
        <v>21</v>
      </c>
      <c r="AF7" s="256"/>
      <c r="AG7" s="256"/>
      <c r="AH7" s="256"/>
      <c r="AI7" s="256"/>
      <c r="AJ7" s="256"/>
      <c r="AK7" s="256"/>
      <c r="AU7" s="226"/>
      <c r="AV7" s="226"/>
      <c r="AW7" s="226"/>
      <c r="AX7" s="226"/>
      <c r="AY7" s="226"/>
      <c r="AZ7" s="226"/>
      <c r="BA7" s="226"/>
      <c r="BB7" s="226"/>
      <c r="BC7" s="226"/>
      <c r="BD7" s="226"/>
      <c r="BE7" s="226"/>
      <c r="BF7" s="226"/>
    </row>
    <row r="8" spans="1:81" ht="15" customHeight="1" x14ac:dyDescent="0.3">
      <c r="C8" s="2"/>
      <c r="D8" s="2" t="s">
        <v>20</v>
      </c>
      <c r="E8" s="258">
        <f>'Form 2F.1 - Design'!$E$8</f>
        <v>0</v>
      </c>
      <c r="F8" s="258"/>
      <c r="G8" s="258"/>
      <c r="H8" s="258"/>
      <c r="I8" s="258"/>
      <c r="J8" s="258"/>
      <c r="K8" s="258"/>
      <c r="L8" s="258"/>
      <c r="M8" s="258"/>
      <c r="N8" s="258"/>
      <c r="O8" s="258"/>
      <c r="P8" s="258"/>
      <c r="Q8" s="258"/>
      <c r="R8" s="258"/>
      <c r="S8" s="258"/>
      <c r="T8" s="258"/>
      <c r="U8" s="258"/>
      <c r="V8" s="258"/>
      <c r="W8" s="258"/>
      <c r="X8" s="258"/>
      <c r="Y8" s="258"/>
      <c r="Z8" s="258"/>
      <c r="AE8" s="2" t="s">
        <v>34</v>
      </c>
      <c r="AF8" s="216">
        <f>'Form 2F.1 - Design'!AE8</f>
        <v>0</v>
      </c>
      <c r="AG8" s="216"/>
      <c r="AH8" s="216"/>
      <c r="AI8" s="216"/>
      <c r="AJ8" s="216"/>
      <c r="AK8" s="216"/>
      <c r="AU8" s="21">
        <v>1</v>
      </c>
      <c r="AV8" s="85" t="s">
        <v>92</v>
      </c>
      <c r="BA8" s="83"/>
      <c r="BB8" s="60"/>
      <c r="BC8" s="60"/>
      <c r="BD8" s="60"/>
      <c r="BE8" s="60"/>
      <c r="BF8" s="60"/>
    </row>
    <row r="9" spans="1:81" ht="4.95" customHeight="1" x14ac:dyDescent="0.3">
      <c r="H9" s="2"/>
      <c r="I9" s="2"/>
      <c r="AY9" s="83"/>
      <c r="AZ9" s="83"/>
      <c r="BB9" s="25"/>
      <c r="BC9" s="25"/>
      <c r="BD9" s="25"/>
      <c r="BE9" s="25"/>
      <c r="BF9" s="25"/>
    </row>
    <row r="10" spans="1:81" ht="15" customHeight="1" x14ac:dyDescent="0.3">
      <c r="B10" s="26" t="s">
        <v>121</v>
      </c>
      <c r="G10" s="55"/>
      <c r="H10" s="26" t="s">
        <v>118</v>
      </c>
      <c r="N10" s="55"/>
      <c r="O10" s="26" t="s">
        <v>119</v>
      </c>
      <c r="W10" s="4"/>
      <c r="X10" s="4"/>
      <c r="Y10" s="4"/>
      <c r="Z10" s="55"/>
      <c r="AA10" s="26" t="str">
        <f>Tables!F24</f>
        <v xml:space="preserve"> O&amp;M Plan</v>
      </c>
      <c r="AH10" s="55"/>
      <c r="AI10" s="26" t="s">
        <v>122</v>
      </c>
      <c r="AV10" s="4" t="s">
        <v>94</v>
      </c>
      <c r="AW10" s="85" t="s">
        <v>586</v>
      </c>
      <c r="AX10" s="83"/>
      <c r="AY10" s="83"/>
      <c r="AZ10" s="83"/>
      <c r="BB10" s="25"/>
      <c r="BC10" s="25"/>
      <c r="BD10" s="25"/>
      <c r="BE10" s="25"/>
      <c r="BF10" s="25"/>
    </row>
    <row r="11" spans="1:81" ht="4.95" customHeight="1" x14ac:dyDescent="0.3">
      <c r="AX11" s="83"/>
      <c r="BB11" s="25"/>
      <c r="BC11" s="25"/>
      <c r="BD11" s="25"/>
      <c r="BE11" s="25"/>
      <c r="BF11" s="25"/>
    </row>
    <row r="12" spans="1:81" ht="15" customHeight="1" x14ac:dyDescent="0.3">
      <c r="A12" s="245" t="s">
        <v>374</v>
      </c>
      <c r="B12" s="245"/>
      <c r="C12" s="245"/>
      <c r="D12" s="245"/>
      <c r="E12" s="245"/>
      <c r="F12" s="245"/>
      <c r="G12" s="245"/>
      <c r="H12" s="245"/>
      <c r="I12" s="245"/>
      <c r="J12" s="245"/>
      <c r="K12" s="245"/>
      <c r="L12" s="245"/>
      <c r="M12" s="245"/>
      <c r="N12" s="245"/>
      <c r="O12" s="245"/>
      <c r="P12" s="245"/>
      <c r="Q12" s="245"/>
      <c r="R12" s="245"/>
      <c r="S12" s="245"/>
      <c r="T12" s="245"/>
      <c r="U12" s="245"/>
      <c r="V12" s="245"/>
      <c r="W12" s="245"/>
      <c r="X12" s="245"/>
      <c r="Y12" s="245"/>
      <c r="Z12" s="245"/>
      <c r="AA12" s="245"/>
      <c r="AB12" s="245"/>
      <c r="AC12" s="245"/>
      <c r="AD12" s="245"/>
      <c r="AE12" s="245"/>
      <c r="AF12" s="245"/>
      <c r="AG12" s="245"/>
      <c r="AH12" s="245"/>
      <c r="AI12" s="245"/>
      <c r="AJ12" s="245"/>
      <c r="AK12" s="245"/>
      <c r="AL12" s="245"/>
      <c r="AV12" s="4" t="s">
        <v>95</v>
      </c>
      <c r="AW12" s="85" t="s">
        <v>93</v>
      </c>
      <c r="BA12" s="83"/>
      <c r="BB12" s="60"/>
      <c r="BC12" s="60"/>
      <c r="BD12" s="60"/>
      <c r="BE12" s="60"/>
      <c r="BF12" s="60"/>
    </row>
    <row r="13" spans="1:81" ht="15" customHeight="1" x14ac:dyDescent="0.3">
      <c r="A13" s="1" t="s">
        <v>56</v>
      </c>
      <c r="C13" s="1"/>
      <c r="D13" s="1"/>
      <c r="E13" s="1"/>
      <c r="F13" s="1"/>
      <c r="G13" s="1"/>
      <c r="I13" s="1"/>
      <c r="J13" s="1"/>
      <c r="K13" s="1"/>
      <c r="L13" s="1"/>
      <c r="M13" s="1"/>
      <c r="N13" s="1"/>
      <c r="O13" s="1"/>
      <c r="P13" s="1"/>
      <c r="Q13" s="1"/>
      <c r="R13" s="1"/>
      <c r="S13" s="76"/>
      <c r="T13" s="1" t="s">
        <v>57</v>
      </c>
      <c r="V13" s="1"/>
      <c r="W13" s="1"/>
      <c r="X13" s="1"/>
      <c r="Y13" s="1"/>
      <c r="Z13" s="1"/>
      <c r="AA13" s="1"/>
      <c r="AB13" s="1"/>
      <c r="AD13" s="1"/>
      <c r="AE13" s="1"/>
      <c r="AF13" s="1"/>
      <c r="AG13" s="1"/>
      <c r="AI13" s="54"/>
      <c r="AJ13" s="54"/>
      <c r="AU13" s="21">
        <v>2</v>
      </c>
      <c r="AV13" s="85" t="s">
        <v>105</v>
      </c>
      <c r="BA13" s="83"/>
      <c r="BB13" s="60"/>
      <c r="BC13" s="60"/>
      <c r="BD13" s="60"/>
      <c r="BE13" s="60"/>
      <c r="BF13" s="60"/>
    </row>
    <row r="14" spans="1:81" ht="14.55" customHeight="1" x14ac:dyDescent="0.3">
      <c r="M14" s="2" t="s">
        <v>383</v>
      </c>
      <c r="N14" s="238">
        <f>'Form 2F.1 - Design'!G69</f>
        <v>0</v>
      </c>
      <c r="O14" s="238"/>
      <c r="P14" s="238"/>
      <c r="Q14" s="26" t="s">
        <v>194</v>
      </c>
      <c r="S14" s="76"/>
      <c r="AF14" s="2" t="s">
        <v>383</v>
      </c>
      <c r="AG14" s="190"/>
      <c r="AH14" s="190"/>
      <c r="AI14" s="190"/>
      <c r="AJ14" s="26" t="s">
        <v>194</v>
      </c>
      <c r="AV14" s="4" t="s">
        <v>94</v>
      </c>
      <c r="AW14" s="83" t="s">
        <v>266</v>
      </c>
      <c r="AX14" s="83"/>
      <c r="AY14" s="83"/>
      <c r="AZ14" s="83"/>
      <c r="BA14" s="53"/>
      <c r="BB14" s="59"/>
      <c r="BC14" s="59"/>
      <c r="BD14" s="59"/>
      <c r="BE14" s="59"/>
      <c r="BF14" s="59"/>
    </row>
    <row r="15" spans="1:81" ht="14.55" customHeight="1" x14ac:dyDescent="0.3">
      <c r="M15" s="2" t="s">
        <v>193</v>
      </c>
      <c r="N15" s="240">
        <f>'Form 2F.1 - Design'!T71</f>
        <v>0</v>
      </c>
      <c r="O15" s="240"/>
      <c r="P15" s="240"/>
      <c r="Q15" s="26" t="s">
        <v>43</v>
      </c>
      <c r="S15" s="76"/>
      <c r="AF15" s="2" t="s">
        <v>193</v>
      </c>
      <c r="AG15" s="183"/>
      <c r="AH15" s="183"/>
      <c r="AI15" s="183"/>
      <c r="AJ15" s="26" t="s">
        <v>43</v>
      </c>
      <c r="AW15" s="83" t="s">
        <v>267</v>
      </c>
      <c r="AX15" s="83"/>
      <c r="AY15" s="83"/>
      <c r="AZ15" s="83"/>
      <c r="BA15" s="53"/>
      <c r="BB15" s="59"/>
      <c r="BC15" s="59"/>
      <c r="BD15" s="59"/>
      <c r="BE15" s="59"/>
      <c r="BF15" s="59"/>
    </row>
    <row r="16" spans="1:81" ht="4.95" customHeight="1" x14ac:dyDescent="0.3">
      <c r="S16" s="76"/>
      <c r="AX16" s="53"/>
      <c r="AY16" s="53"/>
      <c r="AZ16" s="53"/>
      <c r="BA16" s="71"/>
      <c r="BB16" s="74"/>
      <c r="BC16" s="74"/>
      <c r="BD16" s="74"/>
      <c r="BE16" s="74"/>
      <c r="BF16" s="74"/>
    </row>
    <row r="17" spans="2:58" ht="14.55" customHeight="1" x14ac:dyDescent="0.3">
      <c r="M17" s="2" t="s">
        <v>229</v>
      </c>
      <c r="N17" s="99">
        <f>'Form 2F.1 - Design'!AA69</f>
        <v>0</v>
      </c>
      <c r="O17" s="26" t="s">
        <v>123</v>
      </c>
      <c r="P17" s="2"/>
      <c r="Q17" s="99">
        <f>'Form 2F.1 - Design'!AD69</f>
        <v>0</v>
      </c>
      <c r="R17" s="26" t="s">
        <v>124</v>
      </c>
      <c r="S17" s="76"/>
      <c r="AF17" s="2" t="s">
        <v>229</v>
      </c>
      <c r="AG17" s="55"/>
      <c r="AH17" s="26" t="s">
        <v>123</v>
      </c>
      <c r="AI17" s="2"/>
      <c r="AJ17" s="55"/>
      <c r="AK17" s="26" t="s">
        <v>124</v>
      </c>
      <c r="AM17" s="89">
        <f>IF(AND(ISBLANK(AG17),ISBLANK(AJ17)),1,2)</f>
        <v>1</v>
      </c>
      <c r="AV17" s="4" t="s">
        <v>95</v>
      </c>
      <c r="AW17" s="85" t="s">
        <v>99</v>
      </c>
      <c r="AX17" s="53"/>
      <c r="AY17" s="53"/>
      <c r="AZ17" s="53"/>
      <c r="BB17" s="25"/>
      <c r="BC17" s="25"/>
      <c r="BD17" s="25"/>
      <c r="BE17" s="25"/>
      <c r="BF17" s="25"/>
    </row>
    <row r="18" spans="2:58" ht="14.55" customHeight="1" x14ac:dyDescent="0.3">
      <c r="E18" s="2" t="s">
        <v>196</v>
      </c>
      <c r="F18" s="99">
        <f>'Form 2F.1 - Design'!J73</f>
        <v>0</v>
      </c>
      <c r="G18" s="26" t="s">
        <v>123</v>
      </c>
      <c r="H18" s="2"/>
      <c r="I18" s="99">
        <f>'Form 2F.1 - Design'!M73</f>
        <v>0</v>
      </c>
      <c r="J18" s="26" t="s">
        <v>124</v>
      </c>
      <c r="M18" s="2" t="s">
        <v>195</v>
      </c>
      <c r="N18" s="229">
        <f>'Form 2F.1 - Design'!R73</f>
        <v>0</v>
      </c>
      <c r="O18" s="229"/>
      <c r="P18" s="229"/>
      <c r="Q18" s="229"/>
      <c r="R18" s="229"/>
      <c r="S18" s="76"/>
      <c r="X18" s="2" t="s">
        <v>196</v>
      </c>
      <c r="Y18" s="55"/>
      <c r="Z18" s="26" t="s">
        <v>123</v>
      </c>
      <c r="AA18" s="2"/>
      <c r="AB18" s="55"/>
      <c r="AC18" s="26" t="s">
        <v>124</v>
      </c>
      <c r="AF18" s="2" t="s">
        <v>195</v>
      </c>
      <c r="AG18" s="179"/>
      <c r="AH18" s="179"/>
      <c r="AI18" s="179"/>
      <c r="AJ18" s="179"/>
      <c r="AK18" s="179"/>
      <c r="AM18" s="89">
        <f>IF(AND(ISBLANK(Y18),ISBLANK(AB18)),1,2)</f>
        <v>1</v>
      </c>
      <c r="AN18" s="89">
        <f>IF(ISBLANK(Y18),1,2)</f>
        <v>1</v>
      </c>
      <c r="AU18" s="26"/>
      <c r="AV18" s="4" t="s">
        <v>108</v>
      </c>
      <c r="AW18" s="83" t="s">
        <v>587</v>
      </c>
      <c r="BA18" s="87"/>
      <c r="BB18" s="75"/>
      <c r="BC18" s="75"/>
      <c r="BD18" s="75"/>
      <c r="BE18" s="75"/>
      <c r="BF18" s="75"/>
    </row>
    <row r="19" spans="2:58" ht="4.95" customHeight="1" x14ac:dyDescent="0.3">
      <c r="S19" s="76"/>
      <c r="AI19" s="9"/>
      <c r="AJ19" s="9"/>
      <c r="BA19" s="87"/>
      <c r="BB19" s="75"/>
      <c r="BC19" s="75"/>
      <c r="BD19" s="75"/>
      <c r="BE19" s="75"/>
      <c r="BF19" s="75"/>
    </row>
    <row r="20" spans="2:58" ht="14.55" customHeight="1" x14ac:dyDescent="0.3">
      <c r="B20" s="72" t="s">
        <v>204</v>
      </c>
      <c r="J20" s="4" t="s">
        <v>197</v>
      </c>
      <c r="N20" s="26" t="s">
        <v>198</v>
      </c>
      <c r="S20" s="76"/>
      <c r="U20" s="72" t="s">
        <v>204</v>
      </c>
      <c r="AC20" s="4" t="s">
        <v>197</v>
      </c>
      <c r="AG20" s="26" t="s">
        <v>198</v>
      </c>
      <c r="AW20" s="83" t="s">
        <v>268</v>
      </c>
      <c r="AY20" s="87"/>
      <c r="AZ20" s="87"/>
      <c r="BA20" s="83"/>
      <c r="BB20" s="60"/>
      <c r="BC20" s="60"/>
      <c r="BD20" s="60"/>
      <c r="BE20" s="60"/>
      <c r="BF20" s="60"/>
    </row>
    <row r="21" spans="2:58" ht="14.55" customHeight="1" x14ac:dyDescent="0.3">
      <c r="H21" s="2" t="s">
        <v>384</v>
      </c>
      <c r="I21" s="238">
        <f>'Form 2F.1 - Design'!J76</f>
        <v>0</v>
      </c>
      <c r="J21" s="251"/>
      <c r="K21" s="251"/>
      <c r="L21" s="26" t="s">
        <v>42</v>
      </c>
      <c r="N21" s="238">
        <f>'Form 2F.1 - Design'!O76</f>
        <v>0</v>
      </c>
      <c r="O21" s="251"/>
      <c r="P21" s="251"/>
      <c r="Q21" s="26" t="s">
        <v>43</v>
      </c>
      <c r="S21" s="76"/>
      <c r="AA21" s="2" t="s">
        <v>384</v>
      </c>
      <c r="AB21" s="190"/>
      <c r="AC21" s="190"/>
      <c r="AD21" s="190"/>
      <c r="AE21" s="26" t="s">
        <v>42</v>
      </c>
      <c r="AG21" s="190"/>
      <c r="AH21" s="190"/>
      <c r="AI21" s="190"/>
      <c r="AJ21" s="26" t="s">
        <v>43</v>
      </c>
      <c r="AV21" s="4" t="s">
        <v>109</v>
      </c>
      <c r="AW21" s="85" t="s">
        <v>100</v>
      </c>
      <c r="AX21" s="83"/>
      <c r="AY21" s="87"/>
      <c r="AZ21" s="87"/>
      <c r="BA21" s="83"/>
      <c r="BB21" s="60"/>
      <c r="BC21" s="60"/>
      <c r="BD21" s="60"/>
      <c r="BE21" s="60"/>
      <c r="BF21" s="60"/>
    </row>
    <row r="22" spans="2:58" ht="14.55" customHeight="1" x14ac:dyDescent="0.3">
      <c r="H22" s="2" t="s">
        <v>385</v>
      </c>
      <c r="I22" s="238">
        <f>'Form 2F.1 - Design'!J77</f>
        <v>0</v>
      </c>
      <c r="J22" s="251"/>
      <c r="K22" s="251"/>
      <c r="L22" s="26" t="s">
        <v>42</v>
      </c>
      <c r="N22" s="238">
        <f>'Form 2F.1 - Design'!O77</f>
        <v>0</v>
      </c>
      <c r="O22" s="251"/>
      <c r="P22" s="251"/>
      <c r="Q22" s="26" t="s">
        <v>43</v>
      </c>
      <c r="S22" s="76"/>
      <c r="AA22" s="2" t="s">
        <v>385</v>
      </c>
      <c r="AB22" s="183"/>
      <c r="AC22" s="183"/>
      <c r="AD22" s="183"/>
      <c r="AE22" s="26" t="s">
        <v>42</v>
      </c>
      <c r="AG22" s="183"/>
      <c r="AH22" s="183"/>
      <c r="AI22" s="183"/>
      <c r="AJ22" s="26" t="s">
        <v>43</v>
      </c>
      <c r="AU22" s="21">
        <v>3</v>
      </c>
      <c r="AV22" s="85" t="s">
        <v>96</v>
      </c>
      <c r="AY22" s="83"/>
      <c r="AZ22" s="83"/>
      <c r="BA22" s="53"/>
      <c r="BB22" s="59"/>
      <c r="BC22" s="59"/>
      <c r="BD22" s="59"/>
      <c r="BE22" s="59"/>
      <c r="BF22" s="59"/>
    </row>
    <row r="23" spans="2:58" ht="14.55" customHeight="1" x14ac:dyDescent="0.3">
      <c r="H23" s="2" t="s">
        <v>386</v>
      </c>
      <c r="I23" s="238">
        <f>'Form 2F.1 - Design'!J78</f>
        <v>0</v>
      </c>
      <c r="J23" s="251"/>
      <c r="K23" s="251"/>
      <c r="L23" s="26" t="s">
        <v>42</v>
      </c>
      <c r="N23" s="238">
        <f>'Form 2F.1 - Design'!O78</f>
        <v>0</v>
      </c>
      <c r="O23" s="251"/>
      <c r="P23" s="251"/>
      <c r="Q23" s="26" t="s">
        <v>43</v>
      </c>
      <c r="S23" s="76"/>
      <c r="AA23" s="2" t="s">
        <v>386</v>
      </c>
      <c r="AB23" s="183"/>
      <c r="AC23" s="183"/>
      <c r="AD23" s="183"/>
      <c r="AE23" s="26" t="s">
        <v>42</v>
      </c>
      <c r="AG23" s="183"/>
      <c r="AH23" s="183"/>
      <c r="AI23" s="183"/>
      <c r="AJ23" s="26" t="s">
        <v>43</v>
      </c>
      <c r="AV23" s="4" t="s">
        <v>94</v>
      </c>
      <c r="AW23" s="83" t="s">
        <v>588</v>
      </c>
      <c r="AY23" s="83"/>
      <c r="AZ23" s="83"/>
      <c r="BA23" s="53"/>
      <c r="BB23" s="59"/>
      <c r="BC23" s="59"/>
      <c r="BD23" s="59"/>
      <c r="BE23" s="59"/>
      <c r="BF23" s="59"/>
    </row>
    <row r="24" spans="2:58" ht="15" customHeight="1" x14ac:dyDescent="0.3">
      <c r="H24" s="2" t="s">
        <v>387</v>
      </c>
      <c r="I24" s="238">
        <f>'Form 2F.1 - Design'!J79</f>
        <v>0</v>
      </c>
      <c r="J24" s="251"/>
      <c r="K24" s="251"/>
      <c r="L24" s="26" t="s">
        <v>42</v>
      </c>
      <c r="N24" s="238">
        <f>'Form 2F.1 - Design'!O79</f>
        <v>0</v>
      </c>
      <c r="O24" s="251"/>
      <c r="P24" s="251"/>
      <c r="Q24" s="26" t="s">
        <v>43</v>
      </c>
      <c r="S24" s="76"/>
      <c r="AA24" s="2" t="s">
        <v>387</v>
      </c>
      <c r="AB24" s="183"/>
      <c r="AC24" s="183"/>
      <c r="AD24" s="183"/>
      <c r="AE24" s="26" t="s">
        <v>42</v>
      </c>
      <c r="AG24" s="183"/>
      <c r="AH24" s="183"/>
      <c r="AI24" s="183"/>
      <c r="AJ24" s="26" t="s">
        <v>43</v>
      </c>
      <c r="AV24" s="4" t="s">
        <v>95</v>
      </c>
      <c r="AW24" s="85" t="s">
        <v>103</v>
      </c>
      <c r="AY24" s="53"/>
      <c r="AZ24" s="53"/>
    </row>
    <row r="25" spans="2:58" ht="15" customHeight="1" x14ac:dyDescent="0.3">
      <c r="H25" s="2" t="s">
        <v>388</v>
      </c>
      <c r="I25" s="238">
        <f>'Form 2F.1 - Design'!J80</f>
        <v>0</v>
      </c>
      <c r="J25" s="251"/>
      <c r="K25" s="251"/>
      <c r="L25" s="26" t="s">
        <v>42</v>
      </c>
      <c r="N25" s="238">
        <f>'Form 2F.1 - Design'!O80</f>
        <v>0</v>
      </c>
      <c r="O25" s="251"/>
      <c r="P25" s="251"/>
      <c r="Q25" s="26" t="s">
        <v>43</v>
      </c>
      <c r="S25" s="76"/>
      <c r="AA25" s="2" t="s">
        <v>388</v>
      </c>
      <c r="AB25" s="183"/>
      <c r="AC25" s="183"/>
      <c r="AD25" s="183"/>
      <c r="AE25" s="26" t="s">
        <v>42</v>
      </c>
      <c r="AG25" s="183"/>
      <c r="AH25" s="183"/>
      <c r="AI25" s="183"/>
      <c r="AJ25" s="26" t="s">
        <v>43</v>
      </c>
      <c r="AW25" s="88" t="s">
        <v>111</v>
      </c>
      <c r="AX25" s="85" t="s">
        <v>104</v>
      </c>
      <c r="AY25" s="53"/>
      <c r="AZ25" s="53"/>
    </row>
    <row r="26" spans="2:58" ht="4.95" customHeight="1" x14ac:dyDescent="0.3">
      <c r="S26" s="76"/>
      <c r="AI26" s="9"/>
      <c r="AJ26" s="9"/>
      <c r="AY26" s="53"/>
      <c r="AZ26" s="53"/>
    </row>
    <row r="27" spans="2:58" ht="15" customHeight="1" x14ac:dyDescent="0.3">
      <c r="E27" s="2" t="s">
        <v>452</v>
      </c>
      <c r="F27" s="99">
        <f>'Form 2F.1 - Design'!J82</f>
        <v>0</v>
      </c>
      <c r="G27" s="26" t="s">
        <v>123</v>
      </c>
      <c r="H27" s="2"/>
      <c r="I27" s="99">
        <f>'Form 2F.1 - Design'!M82</f>
        <v>0</v>
      </c>
      <c r="J27" s="26" t="s">
        <v>124</v>
      </c>
      <c r="M27" s="2" t="s">
        <v>195</v>
      </c>
      <c r="N27" s="229">
        <f>'Form 2F.1 - Design'!R82</f>
        <v>0</v>
      </c>
      <c r="O27" s="229"/>
      <c r="P27" s="229"/>
      <c r="Q27" s="229"/>
      <c r="R27" s="229"/>
      <c r="S27" s="76"/>
      <c r="X27" s="2" t="s">
        <v>452</v>
      </c>
      <c r="Y27" s="55"/>
      <c r="Z27" s="26" t="s">
        <v>123</v>
      </c>
      <c r="AA27" s="2"/>
      <c r="AB27" s="55"/>
      <c r="AC27" s="26" t="s">
        <v>124</v>
      </c>
      <c r="AF27" s="2" t="s">
        <v>195</v>
      </c>
      <c r="AG27" s="179"/>
      <c r="AH27" s="179"/>
      <c r="AI27" s="179"/>
      <c r="AJ27" s="179"/>
      <c r="AK27" s="179"/>
      <c r="AM27" s="89">
        <f>IF(AND(ISBLANK(Y27),ISBLANK(AB27)),1,2)</f>
        <v>1</v>
      </c>
      <c r="AN27" s="89">
        <f>IF(ISBLANK(Y27),1,2)</f>
        <v>1</v>
      </c>
      <c r="AW27" s="88" t="s">
        <v>111</v>
      </c>
      <c r="AX27" s="85" t="s">
        <v>97</v>
      </c>
      <c r="AY27" s="53"/>
      <c r="AZ27" s="53"/>
    </row>
    <row r="28" spans="2:58" ht="4.95" customHeight="1" x14ac:dyDescent="0.3">
      <c r="S28" s="76"/>
      <c r="AI28" s="9"/>
      <c r="AJ28" s="9"/>
      <c r="AY28" s="53"/>
      <c r="AZ28" s="53"/>
    </row>
    <row r="29" spans="2:58" ht="14.55" customHeight="1" x14ac:dyDescent="0.3">
      <c r="B29" s="72" t="s">
        <v>201</v>
      </c>
      <c r="I29" s="99">
        <f>'Form 2F.1 - Design'!AC84</f>
        <v>0</v>
      </c>
      <c r="J29" s="26" t="s">
        <v>455</v>
      </c>
      <c r="S29" s="76"/>
      <c r="U29" s="72" t="s">
        <v>201</v>
      </c>
      <c r="AB29" s="55"/>
      <c r="AC29" s="26" t="s">
        <v>455</v>
      </c>
      <c r="AM29" s="89">
        <f>IF(ISBLANK(AB29),1,2)</f>
        <v>1</v>
      </c>
      <c r="AW29" s="88" t="s">
        <v>111</v>
      </c>
      <c r="AX29" s="26" t="s">
        <v>98</v>
      </c>
      <c r="AY29" s="53"/>
      <c r="AZ29" s="53"/>
    </row>
    <row r="30" spans="2:58" ht="14.55" customHeight="1" x14ac:dyDescent="0.3">
      <c r="E30" s="2" t="s">
        <v>160</v>
      </c>
      <c r="F30" s="229">
        <f>'Form 2F.1 - Design'!M84</f>
        <v>0</v>
      </c>
      <c r="G30" s="229"/>
      <c r="H30" s="229"/>
      <c r="I30" s="229"/>
      <c r="S30" s="76"/>
      <c r="X30" s="2" t="s">
        <v>160</v>
      </c>
      <c r="Y30" s="179"/>
      <c r="Z30" s="179"/>
      <c r="AA30" s="179"/>
      <c r="AB30" s="179"/>
      <c r="AM30" s="89">
        <f>IF(ISBLANK(Y30),1,2)</f>
        <v>1</v>
      </c>
      <c r="AW30" s="88" t="s">
        <v>111</v>
      </c>
      <c r="AX30" s="26" t="str">
        <f>Tables!F24</f>
        <v xml:space="preserve"> O&amp;M Plan</v>
      </c>
    </row>
    <row r="31" spans="2:58" ht="14.55" customHeight="1" x14ac:dyDescent="0.3">
      <c r="I31" s="26" t="s">
        <v>200</v>
      </c>
      <c r="N31" s="26" t="s">
        <v>41</v>
      </c>
      <c r="S31" s="76"/>
      <c r="AB31" s="26" t="s">
        <v>200</v>
      </c>
      <c r="AG31" s="26" t="s">
        <v>41</v>
      </c>
      <c r="AU31" s="21">
        <v>4</v>
      </c>
      <c r="AV31" s="85" t="s">
        <v>91</v>
      </c>
    </row>
    <row r="32" spans="2:58" ht="14.55" customHeight="1" x14ac:dyDescent="0.3">
      <c r="H32" s="2" t="s">
        <v>453</v>
      </c>
      <c r="I32" s="238">
        <f>'Form 2F.1 - Design'!M85</f>
        <v>0</v>
      </c>
      <c r="J32" s="251"/>
      <c r="K32" s="251"/>
      <c r="L32" s="26" t="s">
        <v>42</v>
      </c>
      <c r="N32" s="238">
        <f>'Form 2F.1 - Design'!W85</f>
        <v>0</v>
      </c>
      <c r="O32" s="251"/>
      <c r="P32" s="251"/>
      <c r="Q32" s="26" t="s">
        <v>43</v>
      </c>
      <c r="S32" s="76"/>
      <c r="AA32" s="2" t="s">
        <v>453</v>
      </c>
      <c r="AB32" s="190"/>
      <c r="AC32" s="190"/>
      <c r="AD32" s="190"/>
      <c r="AE32" s="26" t="s">
        <v>42</v>
      </c>
      <c r="AG32" s="190"/>
      <c r="AH32" s="190"/>
      <c r="AI32" s="190"/>
      <c r="AJ32" s="26" t="s">
        <v>43</v>
      </c>
      <c r="AV32" s="4" t="s">
        <v>94</v>
      </c>
      <c r="AW32" s="26" t="s">
        <v>589</v>
      </c>
    </row>
    <row r="33" spans="2:50" ht="14.55" customHeight="1" x14ac:dyDescent="0.3">
      <c r="H33" s="2" t="s">
        <v>454</v>
      </c>
      <c r="I33" s="240">
        <f>'Form 2F.1 - Design'!M86</f>
        <v>0</v>
      </c>
      <c r="J33" s="253"/>
      <c r="K33" s="253"/>
      <c r="L33" s="26" t="s">
        <v>42</v>
      </c>
      <c r="N33" s="240">
        <f>'Form 2F.1 - Design'!W86</f>
        <v>0</v>
      </c>
      <c r="O33" s="253"/>
      <c r="P33" s="253"/>
      <c r="Q33" s="26" t="s">
        <v>43</v>
      </c>
      <c r="S33" s="76"/>
      <c r="AA33" s="2" t="s">
        <v>454</v>
      </c>
      <c r="AB33" s="183"/>
      <c r="AC33" s="183"/>
      <c r="AD33" s="183"/>
      <c r="AE33" s="26" t="s">
        <v>42</v>
      </c>
      <c r="AG33" s="183"/>
      <c r="AH33" s="183"/>
      <c r="AI33" s="183"/>
      <c r="AJ33" s="26" t="s">
        <v>43</v>
      </c>
      <c r="AU33" s="26"/>
      <c r="AV33" s="4" t="s">
        <v>95</v>
      </c>
      <c r="AW33" s="26" t="s">
        <v>590</v>
      </c>
    </row>
    <row r="34" spans="2:50" ht="4.95" customHeight="1" x14ac:dyDescent="0.3">
      <c r="S34" s="76"/>
      <c r="AI34" s="9"/>
      <c r="AJ34" s="9"/>
      <c r="AU34" s="26"/>
      <c r="AX34" s="87"/>
    </row>
    <row r="35" spans="2:50" ht="14.55" customHeight="1" x14ac:dyDescent="0.3">
      <c r="B35" s="72" t="s">
        <v>393</v>
      </c>
      <c r="I35" s="99">
        <f>'Form 2F.1 - Design'!AC88</f>
        <v>0</v>
      </c>
      <c r="J35" s="26" t="s">
        <v>455</v>
      </c>
      <c r="S35" s="76"/>
      <c r="U35" s="72" t="s">
        <v>393</v>
      </c>
      <c r="AB35" s="55"/>
      <c r="AC35" s="26" t="s">
        <v>455</v>
      </c>
      <c r="AK35" s="1"/>
      <c r="AM35" s="89">
        <f>IF(ISBLANK(AB35),1,2)</f>
        <v>1</v>
      </c>
      <c r="AV35" s="4" t="s">
        <v>108</v>
      </c>
      <c r="AW35" s="85" t="s">
        <v>236</v>
      </c>
    </row>
    <row r="36" spans="2:50" ht="14.55" customHeight="1" x14ac:dyDescent="0.3">
      <c r="E36" s="2" t="s">
        <v>160</v>
      </c>
      <c r="F36" s="229">
        <f>'Form 2F.1 - Design'!M88</f>
        <v>0</v>
      </c>
      <c r="G36" s="229"/>
      <c r="H36" s="229"/>
      <c r="I36" s="229"/>
      <c r="N36" s="2" t="s">
        <v>159</v>
      </c>
      <c r="O36" s="238">
        <f>'Form 2F.1 - Design'!M89</f>
        <v>0</v>
      </c>
      <c r="P36" s="238"/>
      <c r="Q36" s="238"/>
      <c r="R36" s="26" t="s">
        <v>42</v>
      </c>
      <c r="S36" s="76"/>
      <c r="X36" s="2" t="s">
        <v>160</v>
      </c>
      <c r="Y36" s="179"/>
      <c r="Z36" s="179"/>
      <c r="AA36" s="179"/>
      <c r="AB36" s="179"/>
      <c r="AF36" s="2" t="s">
        <v>159</v>
      </c>
      <c r="AG36" s="190"/>
      <c r="AH36" s="190"/>
      <c r="AI36" s="190"/>
      <c r="AJ36" s="26" t="s">
        <v>42</v>
      </c>
      <c r="AM36" s="89">
        <f>IF(ISBLANK(Y36),1,2)</f>
        <v>1</v>
      </c>
      <c r="AV36" s="4" t="s">
        <v>109</v>
      </c>
      <c r="AW36" s="85" t="s">
        <v>101</v>
      </c>
    </row>
    <row r="37" spans="2:50" ht="14.55" customHeight="1" x14ac:dyDescent="0.3">
      <c r="E37" s="2"/>
      <c r="N37" s="2" t="s">
        <v>456</v>
      </c>
      <c r="O37" s="254">
        <f>'Form 2F.1 - Design'!W89</f>
        <v>0</v>
      </c>
      <c r="P37" s="254"/>
      <c r="Q37" s="254"/>
      <c r="R37" s="26" t="s">
        <v>199</v>
      </c>
      <c r="S37" s="76"/>
      <c r="AF37" s="2" t="s">
        <v>456</v>
      </c>
      <c r="AG37" s="210"/>
      <c r="AH37" s="210"/>
      <c r="AI37" s="210"/>
      <c r="AJ37" s="26" t="s">
        <v>199</v>
      </c>
      <c r="AV37" s="4" t="s">
        <v>107</v>
      </c>
      <c r="AW37" s="85" t="s">
        <v>591</v>
      </c>
    </row>
    <row r="38" spans="2:50" ht="14.55" customHeight="1" x14ac:dyDescent="0.3">
      <c r="B38" s="72" t="s">
        <v>218</v>
      </c>
      <c r="I38" s="99">
        <f>'Form 2F.1 - Design'!AC91</f>
        <v>0</v>
      </c>
      <c r="J38" s="26" t="s">
        <v>455</v>
      </c>
      <c r="S38" s="76"/>
      <c r="U38" s="72" t="s">
        <v>218</v>
      </c>
      <c r="AB38" s="55"/>
      <c r="AC38" s="26" t="s">
        <v>455</v>
      </c>
      <c r="AM38" s="89">
        <f>IF(ISBLANK(AB38),1,2)</f>
        <v>1</v>
      </c>
      <c r="AV38" s="4" t="s">
        <v>110</v>
      </c>
      <c r="AW38" s="26" t="s">
        <v>592</v>
      </c>
    </row>
    <row r="39" spans="2:50" ht="14.55" customHeight="1" x14ac:dyDescent="0.3">
      <c r="B39" s="72"/>
      <c r="M39" s="2" t="s">
        <v>156</v>
      </c>
      <c r="N39" s="99">
        <f>'Form 2F.1 - Design'!AE95</f>
        <v>0</v>
      </c>
      <c r="O39" s="26" t="s">
        <v>123</v>
      </c>
      <c r="P39" s="2"/>
      <c r="Q39" s="99">
        <f>'Form 2F.1 - Design'!AH95</f>
        <v>0</v>
      </c>
      <c r="R39" s="26" t="s">
        <v>124</v>
      </c>
      <c r="S39" s="76"/>
      <c r="U39" s="72"/>
      <c r="AF39" s="2" t="s">
        <v>156</v>
      </c>
      <c r="AG39" s="55"/>
      <c r="AH39" s="26" t="s">
        <v>123</v>
      </c>
      <c r="AI39" s="2"/>
      <c r="AJ39" s="55"/>
      <c r="AK39" s="26" t="s">
        <v>124</v>
      </c>
      <c r="AM39" s="89">
        <f>IF(AND(ISBLANK(AG39),ISBLANK(AJ39)),1,2)</f>
        <v>1</v>
      </c>
      <c r="AU39" s="21">
        <v>5</v>
      </c>
      <c r="AV39" s="85" t="str">
        <f>"Form 3E – Permeable Pavement As-built Certification Form shall be approved by the "&amp;Tables!F23&amp;" prior to:"</f>
        <v>Form 3E – Permeable Pavement As-built Certification Form shall be approved by the County prior to:</v>
      </c>
    </row>
    <row r="40" spans="2:50" ht="14.55" customHeight="1" x14ac:dyDescent="0.3">
      <c r="E40" s="2" t="s">
        <v>160</v>
      </c>
      <c r="F40" s="229">
        <f>'Form 2F.1 - Design'!M91</f>
        <v>0</v>
      </c>
      <c r="G40" s="229"/>
      <c r="H40" s="229"/>
      <c r="I40" s="229"/>
      <c r="N40" s="2" t="s">
        <v>161</v>
      </c>
      <c r="O40" s="229">
        <f>'Form 2F.1 - Design'!W91</f>
        <v>0</v>
      </c>
      <c r="P40" s="229"/>
      <c r="Q40" s="229"/>
      <c r="S40" s="76"/>
      <c r="X40" s="2" t="s">
        <v>160</v>
      </c>
      <c r="Y40" s="179"/>
      <c r="Z40" s="179"/>
      <c r="AA40" s="179"/>
      <c r="AB40" s="179"/>
      <c r="AG40" s="2" t="s">
        <v>161</v>
      </c>
      <c r="AH40" s="179"/>
      <c r="AI40" s="179"/>
      <c r="AJ40" s="179"/>
      <c r="AM40" s="89">
        <f>IF(ISBLANK(Y40),1,2)</f>
        <v>1</v>
      </c>
      <c r="AU40" s="26"/>
      <c r="AV40" s="4" t="s">
        <v>94</v>
      </c>
      <c r="AW40" s="85" t="s">
        <v>106</v>
      </c>
    </row>
    <row r="41" spans="2:50" ht="14.55" customHeight="1" x14ac:dyDescent="0.3">
      <c r="E41" s="2" t="s">
        <v>159</v>
      </c>
      <c r="F41" s="240">
        <f>'Form 2F.1 - Design'!M93</f>
        <v>0</v>
      </c>
      <c r="G41" s="240"/>
      <c r="H41" s="240"/>
      <c r="I41" s="26" t="s">
        <v>42</v>
      </c>
      <c r="S41" s="76"/>
      <c r="X41" s="2" t="s">
        <v>159</v>
      </c>
      <c r="Y41" s="183"/>
      <c r="Z41" s="183"/>
      <c r="AA41" s="183"/>
      <c r="AB41" s="26" t="s">
        <v>42</v>
      </c>
      <c r="AM41" s="89">
        <f>IF(ISBLANK(Y41),1,2)</f>
        <v>1</v>
      </c>
      <c r="AU41" s="26"/>
      <c r="AV41" s="4" t="s">
        <v>95</v>
      </c>
      <c r="AW41" s="85" t="s">
        <v>102</v>
      </c>
    </row>
    <row r="42" spans="2:50" ht="14.55" customHeight="1" x14ac:dyDescent="0.3">
      <c r="E42" s="2" t="s">
        <v>158</v>
      </c>
      <c r="F42" s="240">
        <f>'Form 2F.1 - Design'!W93</f>
        <v>0</v>
      </c>
      <c r="G42" s="240"/>
      <c r="H42" s="240"/>
      <c r="I42" s="26" t="s">
        <v>43</v>
      </c>
      <c r="N42" s="2" t="s">
        <v>162</v>
      </c>
      <c r="O42" s="238">
        <f>'Form 2F.1 - Design'!AF93</f>
        <v>0</v>
      </c>
      <c r="P42" s="238"/>
      <c r="Q42" s="238"/>
      <c r="R42" s="26" t="s">
        <v>43</v>
      </c>
      <c r="S42" s="76"/>
      <c r="X42" s="2" t="s">
        <v>158</v>
      </c>
      <c r="Y42" s="183"/>
      <c r="Z42" s="183"/>
      <c r="AA42" s="183"/>
      <c r="AB42" s="26" t="s">
        <v>43</v>
      </c>
      <c r="AG42" s="2" t="s">
        <v>162</v>
      </c>
      <c r="AH42" s="190"/>
      <c r="AI42" s="190"/>
      <c r="AJ42" s="190"/>
      <c r="AK42" s="26" t="s">
        <v>43</v>
      </c>
      <c r="AM42" s="89">
        <f>IF(AND(ISBLANK(Y42),ISBLANK(AH42)),1,2)</f>
        <v>1</v>
      </c>
    </row>
    <row r="43" spans="2:50" ht="14.55" customHeight="1" x14ac:dyDescent="0.3">
      <c r="E43" s="2" t="s">
        <v>230</v>
      </c>
      <c r="F43" s="240">
        <f>'Form 2F.1 - Design'!M95</f>
        <v>0</v>
      </c>
      <c r="G43" s="240"/>
      <c r="H43" s="240"/>
      <c r="I43" s="26" t="s">
        <v>43</v>
      </c>
      <c r="N43" s="2" t="s">
        <v>231</v>
      </c>
      <c r="O43" s="240">
        <f>'Form 2F.1 - Design'!W95</f>
        <v>0</v>
      </c>
      <c r="P43" s="240"/>
      <c r="Q43" s="240"/>
      <c r="R43" s="26" t="s">
        <v>43</v>
      </c>
      <c r="S43" s="76"/>
      <c r="X43" s="2" t="s">
        <v>230</v>
      </c>
      <c r="Y43" s="183"/>
      <c r="Z43" s="183"/>
      <c r="AA43" s="183"/>
      <c r="AB43" s="26" t="s">
        <v>43</v>
      </c>
      <c r="AG43" s="2" t="s">
        <v>231</v>
      </c>
      <c r="AH43" s="183"/>
      <c r="AI43" s="183"/>
      <c r="AJ43" s="183"/>
      <c r="AK43" s="26" t="s">
        <v>43</v>
      </c>
      <c r="AU43" s="26"/>
    </row>
    <row r="44" spans="2:50" ht="15" customHeight="1" x14ac:dyDescent="0.3">
      <c r="S44" s="76"/>
    </row>
    <row r="45" spans="2:50" ht="14.55" customHeight="1" x14ac:dyDescent="0.3">
      <c r="B45" s="72" t="s">
        <v>219</v>
      </c>
      <c r="E45" s="2"/>
      <c r="F45" s="2"/>
      <c r="G45" s="2"/>
      <c r="H45" s="2"/>
      <c r="I45" s="2"/>
      <c r="J45" s="2"/>
      <c r="S45" s="76"/>
      <c r="V45" s="72" t="s">
        <v>219</v>
      </c>
      <c r="Y45" s="2"/>
      <c r="Z45" s="2"/>
      <c r="AA45" s="2"/>
      <c r="AB45" s="2"/>
      <c r="AC45" s="2"/>
    </row>
    <row r="46" spans="2:50" ht="14.55" customHeight="1" x14ac:dyDescent="0.3">
      <c r="E46" s="2" t="s">
        <v>160</v>
      </c>
      <c r="F46" s="229">
        <f>'Form 2F.1 - Design'!M97</f>
        <v>0</v>
      </c>
      <c r="G46" s="229"/>
      <c r="H46" s="229"/>
      <c r="I46" s="229"/>
      <c r="N46" s="2" t="s">
        <v>161</v>
      </c>
      <c r="O46" s="229">
        <f>'Form 2F.1 - Design'!W97</f>
        <v>0</v>
      </c>
      <c r="P46" s="229"/>
      <c r="Q46" s="229"/>
      <c r="S46" s="76"/>
      <c r="Y46" s="2" t="s">
        <v>160</v>
      </c>
      <c r="Z46" s="179"/>
      <c r="AA46" s="179"/>
      <c r="AB46" s="179"/>
      <c r="AC46" s="179"/>
      <c r="AG46" s="2" t="s">
        <v>161</v>
      </c>
      <c r="AH46" s="252"/>
      <c r="AI46" s="252"/>
      <c r="AJ46" s="252"/>
    </row>
    <row r="47" spans="2:50" ht="14.55" customHeight="1" x14ac:dyDescent="0.3">
      <c r="E47" s="2" t="s">
        <v>159</v>
      </c>
      <c r="F47" s="240">
        <f>'Form 2F.1 - Design'!M98</f>
        <v>0</v>
      </c>
      <c r="G47" s="240"/>
      <c r="H47" s="240"/>
      <c r="I47" s="26" t="s">
        <v>42</v>
      </c>
      <c r="N47" s="2" t="s">
        <v>208</v>
      </c>
      <c r="O47" s="240">
        <f>'Form 2F.1 - Design'!AF97</f>
        <v>0</v>
      </c>
      <c r="P47" s="240"/>
      <c r="Q47" s="240"/>
      <c r="R47" s="26" t="s">
        <v>43</v>
      </c>
      <c r="S47" s="76"/>
      <c r="Y47" s="2" t="s">
        <v>159</v>
      </c>
      <c r="Z47" s="183"/>
      <c r="AA47" s="183"/>
      <c r="AB47" s="183"/>
      <c r="AC47" s="26" t="s">
        <v>42</v>
      </c>
      <c r="AG47" s="2" t="s">
        <v>208</v>
      </c>
      <c r="AH47" s="183"/>
      <c r="AI47" s="183"/>
      <c r="AJ47" s="183"/>
      <c r="AK47" s="26" t="s">
        <v>43</v>
      </c>
      <c r="AM47" s="89">
        <f>IF(ISBLANK(Z47),1,2)</f>
        <v>1</v>
      </c>
    </row>
    <row r="48" spans="2:50" ht="14.55" customHeight="1" x14ac:dyDescent="0.3">
      <c r="E48" s="2" t="s">
        <v>158</v>
      </c>
      <c r="F48" s="240">
        <f>'Form 2F.1 - Design'!W98</f>
        <v>0</v>
      </c>
      <c r="G48" s="240"/>
      <c r="H48" s="240"/>
      <c r="I48" s="26" t="s">
        <v>43</v>
      </c>
      <c r="N48" s="2" t="s">
        <v>162</v>
      </c>
      <c r="O48" s="238">
        <f>'Form 2F.1 - Design'!AF98</f>
        <v>0</v>
      </c>
      <c r="P48" s="238"/>
      <c r="Q48" s="238"/>
      <c r="R48" s="26" t="s">
        <v>43</v>
      </c>
      <c r="S48" s="76"/>
      <c r="Y48" s="2" t="s">
        <v>158</v>
      </c>
      <c r="Z48" s="183"/>
      <c r="AA48" s="183"/>
      <c r="AB48" s="183"/>
      <c r="AC48" s="26" t="s">
        <v>43</v>
      </c>
      <c r="AG48" s="2" t="s">
        <v>162</v>
      </c>
      <c r="AH48" s="190"/>
      <c r="AI48" s="190"/>
      <c r="AJ48" s="190"/>
      <c r="AK48" s="26" t="s">
        <v>43</v>
      </c>
      <c r="AM48" s="89">
        <f>IF(AND(ISBLANK(Z48),ISBLANK(AH48)),1,2)</f>
        <v>1</v>
      </c>
    </row>
    <row r="49" spans="1:47" ht="15" customHeight="1" x14ac:dyDescent="0.3">
      <c r="B49" s="72" t="s">
        <v>232</v>
      </c>
      <c r="J49" s="26" t="s">
        <v>197</v>
      </c>
      <c r="O49" s="26" t="s">
        <v>232</v>
      </c>
      <c r="S49" s="76"/>
      <c r="V49" s="72" t="s">
        <v>232</v>
      </c>
      <c r="AC49" s="26" t="s">
        <v>197</v>
      </c>
      <c r="AH49" s="26" t="s">
        <v>232</v>
      </c>
      <c r="AU49" s="26"/>
    </row>
    <row r="50" spans="1:47" ht="15" customHeight="1" x14ac:dyDescent="0.3">
      <c r="I50" s="2" t="s">
        <v>233</v>
      </c>
      <c r="J50" s="238">
        <f>'Form 2F.1 - Design'!M100</f>
        <v>0</v>
      </c>
      <c r="K50" s="251"/>
      <c r="L50" s="251"/>
      <c r="M50" s="26" t="s">
        <v>42</v>
      </c>
      <c r="O50" s="238">
        <f>'Form 2F.1 - Design'!W100</f>
        <v>0</v>
      </c>
      <c r="P50" s="251"/>
      <c r="Q50" s="251"/>
      <c r="R50" s="26" t="s">
        <v>223</v>
      </c>
      <c r="T50" s="169"/>
      <c r="AB50" s="2" t="s">
        <v>233</v>
      </c>
      <c r="AC50" s="190"/>
      <c r="AD50" s="190"/>
      <c r="AE50" s="190"/>
      <c r="AF50" s="26" t="s">
        <v>42</v>
      </c>
      <c r="AH50" s="190"/>
      <c r="AI50" s="190"/>
      <c r="AJ50" s="190"/>
      <c r="AK50" s="26" t="s">
        <v>223</v>
      </c>
      <c r="AU50" s="26"/>
    </row>
    <row r="51" spans="1:47" ht="15" customHeight="1" x14ac:dyDescent="0.3">
      <c r="I51" s="2" t="s">
        <v>234</v>
      </c>
      <c r="J51" s="240">
        <f>'Form 2F.1 - Design'!M102</f>
        <v>0</v>
      </c>
      <c r="K51" s="253"/>
      <c r="L51" s="253"/>
      <c r="M51" s="26" t="s">
        <v>42</v>
      </c>
      <c r="O51" s="240">
        <f>'Form 2F.1 - Design'!W102</f>
        <v>0</v>
      </c>
      <c r="P51" s="253"/>
      <c r="Q51" s="253"/>
      <c r="R51" s="26" t="s">
        <v>223</v>
      </c>
      <c r="T51" s="169"/>
      <c r="AB51" s="2" t="s">
        <v>234</v>
      </c>
      <c r="AC51" s="183"/>
      <c r="AD51" s="183"/>
      <c r="AE51" s="183"/>
      <c r="AF51" s="26" t="s">
        <v>42</v>
      </c>
      <c r="AH51" s="183"/>
      <c r="AI51" s="183"/>
      <c r="AJ51" s="183"/>
      <c r="AK51" s="26" t="s">
        <v>223</v>
      </c>
      <c r="AU51" s="26"/>
    </row>
    <row r="52" spans="1:47" ht="15" customHeight="1" x14ac:dyDescent="0.3">
      <c r="AK52" s="28"/>
      <c r="AU52" s="26"/>
    </row>
    <row r="53" spans="1:47" ht="15" customHeight="1" x14ac:dyDescent="0.3">
      <c r="B53" s="194">
        <f>Tables!$F$13</f>
        <v>45931</v>
      </c>
      <c r="C53" s="194"/>
      <c r="D53" s="194"/>
      <c r="E53" s="194"/>
      <c r="F53" s="194"/>
      <c r="G53" s="194"/>
      <c r="H53" s="194"/>
      <c r="R53" s="195" t="s">
        <v>341</v>
      </c>
      <c r="S53" s="195"/>
      <c r="T53" s="195"/>
      <c r="U53" s="195"/>
      <c r="AK53" s="28"/>
      <c r="AU53" s="26"/>
    </row>
    <row r="54" spans="1:47" ht="15" customHeight="1" x14ac:dyDescent="0.3">
      <c r="C54" s="2" t="s">
        <v>1</v>
      </c>
      <c r="D54" s="192">
        <f>IF(ISBLANK($E$7),"",$E$7)</f>
        <v>0</v>
      </c>
      <c r="E54" s="192"/>
      <c r="F54" s="192"/>
      <c r="G54" s="192"/>
      <c r="H54" s="192"/>
      <c r="I54" s="192"/>
      <c r="J54" s="192"/>
      <c r="K54" s="192"/>
      <c r="L54" s="192"/>
      <c r="M54" s="192"/>
      <c r="N54" s="192"/>
      <c r="O54" s="192"/>
      <c r="P54" s="192"/>
      <c r="Q54" s="192"/>
      <c r="R54" s="192"/>
      <c r="S54" s="192"/>
      <c r="T54" s="192"/>
      <c r="U54" s="192"/>
      <c r="V54" s="192"/>
      <c r="W54" s="192"/>
      <c r="X54" s="192"/>
      <c r="Y54" s="192"/>
      <c r="Z54" s="192"/>
      <c r="AA54" s="33"/>
      <c r="AB54" s="33"/>
      <c r="AC54" s="33"/>
      <c r="AF54" s="2" t="s">
        <v>21</v>
      </c>
      <c r="AG54" s="217">
        <f>AF7</f>
        <v>0</v>
      </c>
      <c r="AH54" s="217"/>
      <c r="AI54" s="217"/>
      <c r="AJ54" s="217"/>
      <c r="AK54" s="217"/>
      <c r="AU54" s="26"/>
    </row>
    <row r="55" spans="1:47" ht="15" customHeight="1" x14ac:dyDescent="0.3">
      <c r="H55" s="34"/>
      <c r="I55" s="34"/>
      <c r="J55" s="2"/>
      <c r="K55" s="2"/>
      <c r="L55" s="2"/>
      <c r="M55" s="34"/>
      <c r="N55" s="33"/>
      <c r="O55" s="33"/>
      <c r="P55" s="33"/>
      <c r="Q55" s="33"/>
      <c r="R55" s="33"/>
      <c r="S55" s="33"/>
      <c r="T55" s="33"/>
      <c r="U55" s="33"/>
      <c r="V55" s="33"/>
      <c r="W55" s="33"/>
      <c r="X55" s="33"/>
      <c r="Y55" s="33"/>
      <c r="Z55" s="33"/>
      <c r="AA55" s="33"/>
      <c r="AB55" s="33"/>
      <c r="AC55" s="33"/>
      <c r="AF55" s="2" t="s">
        <v>34</v>
      </c>
      <c r="AG55" s="243">
        <f>IF(ISBLANK($AF$8),"",$AF$8)</f>
        <v>0</v>
      </c>
      <c r="AH55" s="243"/>
      <c r="AI55" s="243"/>
      <c r="AJ55" s="243"/>
      <c r="AK55" s="243"/>
      <c r="AU55" s="26"/>
    </row>
    <row r="56" spans="1:47" ht="15" customHeight="1" x14ac:dyDescent="0.3">
      <c r="B56" s="2"/>
      <c r="C56" s="2"/>
      <c r="D56" s="2"/>
      <c r="E56" s="2"/>
      <c r="F56" s="2"/>
      <c r="G56" s="2"/>
      <c r="J56" s="28"/>
      <c r="K56" s="28"/>
      <c r="L56" s="28"/>
      <c r="N56" s="28"/>
      <c r="O56" s="28"/>
      <c r="P56" s="28"/>
      <c r="R56" s="28"/>
      <c r="S56" s="28"/>
      <c r="T56" s="28"/>
      <c r="AA56" s="28"/>
      <c r="AB56" s="28"/>
      <c r="AC56" s="28"/>
      <c r="AE56" s="28"/>
      <c r="AF56" s="28"/>
      <c r="AG56" s="28"/>
      <c r="AI56" s="28"/>
      <c r="AJ56" s="28"/>
      <c r="AK56" s="28"/>
      <c r="AU56" s="26"/>
    </row>
    <row r="57" spans="1:47" ht="15" customHeight="1" x14ac:dyDescent="0.3">
      <c r="A57" s="245" t="s">
        <v>14</v>
      </c>
      <c r="B57" s="245"/>
      <c r="C57" s="245"/>
      <c r="D57" s="245"/>
      <c r="E57" s="245"/>
      <c r="F57" s="245"/>
      <c r="G57" s="245"/>
      <c r="H57" s="245"/>
      <c r="I57" s="245"/>
      <c r="J57" s="245"/>
      <c r="K57" s="245"/>
      <c r="L57" s="245"/>
      <c r="M57" s="245"/>
      <c r="N57" s="245"/>
      <c r="O57" s="245"/>
      <c r="P57" s="245"/>
      <c r="Q57" s="245"/>
      <c r="R57" s="245"/>
      <c r="S57" s="245"/>
      <c r="T57" s="245"/>
      <c r="U57" s="245"/>
      <c r="V57" s="245"/>
      <c r="W57" s="245"/>
      <c r="X57" s="245"/>
      <c r="Y57" s="245"/>
      <c r="Z57" s="245"/>
      <c r="AA57" s="245"/>
      <c r="AB57" s="245"/>
      <c r="AC57" s="245"/>
      <c r="AD57" s="245"/>
      <c r="AE57" s="245"/>
      <c r="AF57" s="245"/>
      <c r="AG57" s="245"/>
      <c r="AH57" s="245"/>
      <c r="AI57" s="245"/>
      <c r="AJ57" s="245"/>
      <c r="AK57" s="245"/>
      <c r="AL57" s="245"/>
      <c r="AM57" s="91"/>
      <c r="AO57" s="66" t="s">
        <v>281</v>
      </c>
      <c r="AP57" s="89">
        <f>IF(AND(ISBLANK(Z59),ISBLANK(AC59)),1,IF(LEN(Z59)&gt;0,1,0))</f>
        <v>1</v>
      </c>
      <c r="AU57" s="26"/>
    </row>
    <row r="58" spans="1:47" ht="4.95" customHeight="1" x14ac:dyDescent="0.3">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M58" s="91"/>
      <c r="AN58" s="91"/>
      <c r="AU58" s="26"/>
    </row>
    <row r="59" spans="1:47" ht="15" customHeight="1" x14ac:dyDescent="0.3">
      <c r="A59" s="1" t="s">
        <v>56</v>
      </c>
      <c r="C59" s="1"/>
      <c r="D59" s="1"/>
      <c r="E59" s="1"/>
      <c r="F59" s="99">
        <f>'Form 2F.1 - Design'!K104</f>
        <v>0</v>
      </c>
      <c r="G59" s="26" t="s">
        <v>123</v>
      </c>
      <c r="I59" s="99">
        <f>'Form 2F.1 - Design'!N104</f>
        <v>0</v>
      </c>
      <c r="J59" s="26" t="s">
        <v>124</v>
      </c>
      <c r="K59" s="1"/>
      <c r="L59" s="1"/>
      <c r="M59" s="1"/>
      <c r="N59" s="1"/>
      <c r="O59" s="1"/>
      <c r="P59" s="1"/>
      <c r="Q59" s="1"/>
      <c r="R59" s="1"/>
      <c r="S59" s="1"/>
      <c r="T59" s="76"/>
      <c r="U59" s="1" t="s">
        <v>57</v>
      </c>
      <c r="W59" s="1"/>
      <c r="X59" s="1"/>
      <c r="Y59" s="1"/>
      <c r="Z59" s="55"/>
      <c r="AA59" s="26" t="s">
        <v>123</v>
      </c>
      <c r="AC59" s="55"/>
      <c r="AD59" s="26" t="s">
        <v>124</v>
      </c>
      <c r="AE59" s="1"/>
      <c r="AF59" s="1"/>
      <c r="AG59" s="1"/>
      <c r="AH59" s="1"/>
      <c r="AI59" s="54"/>
      <c r="AJ59" s="54"/>
      <c r="AM59" s="89">
        <f>IF(AND(ISBLANK(Z59),ISBLANK(AC59)),1,2)</f>
        <v>1</v>
      </c>
      <c r="AN59" s="89">
        <f>IF(ISBLANK(AC59),1,2)</f>
        <v>1</v>
      </c>
      <c r="AO59" s="66" t="s">
        <v>80</v>
      </c>
      <c r="AP59" s="89">
        <f>SUM(AN60:AN62,AP60:AP62)</f>
        <v>0</v>
      </c>
      <c r="AQ59" s="89"/>
      <c r="AR59" s="89"/>
      <c r="AS59" s="89">
        <f>IF(ISBLANK(Z59),1,2)</f>
        <v>1</v>
      </c>
      <c r="AU59" s="26"/>
    </row>
    <row r="60" spans="1:47" ht="15" customHeight="1" x14ac:dyDescent="0.3">
      <c r="C60" s="2"/>
      <c r="D60" s="2" t="s">
        <v>29</v>
      </c>
      <c r="E60" s="192">
        <f>'Form 2F.1 - Design'!F106</f>
        <v>0</v>
      </c>
      <c r="F60" s="192"/>
      <c r="G60" s="192"/>
      <c r="H60" s="192"/>
      <c r="N60" s="2" t="s">
        <v>32</v>
      </c>
      <c r="O60" s="192">
        <f>'Form 2F.1 - Design'!O106</f>
        <v>0</v>
      </c>
      <c r="P60" s="192"/>
      <c r="Q60" s="192"/>
      <c r="R60" s="192"/>
      <c r="T60" s="76"/>
      <c r="X60" s="2" t="s">
        <v>29</v>
      </c>
      <c r="Y60" s="179"/>
      <c r="Z60" s="179"/>
      <c r="AA60" s="179"/>
      <c r="AB60" s="179"/>
      <c r="AG60" s="2" t="s">
        <v>32</v>
      </c>
      <c r="AH60" s="179"/>
      <c r="AI60" s="179"/>
      <c r="AJ60" s="179"/>
      <c r="AK60" s="179"/>
      <c r="AM60" s="66" t="s">
        <v>23</v>
      </c>
      <c r="AN60" s="89">
        <f>IF(ISBLANK(Y60),0,1)</f>
        <v>0</v>
      </c>
      <c r="AO60" s="66" t="s">
        <v>33</v>
      </c>
      <c r="AP60" s="89">
        <f>IF(ISBLANK(AH60),0,1)</f>
        <v>0</v>
      </c>
      <c r="AU60" s="26"/>
    </row>
    <row r="61" spans="1:47" ht="15" customHeight="1" x14ac:dyDescent="0.3">
      <c r="C61" s="2"/>
      <c r="D61" s="2" t="s">
        <v>40</v>
      </c>
      <c r="E61" s="255">
        <f>'Form 2F.1 - Design'!F107</f>
        <v>0</v>
      </c>
      <c r="F61" s="255"/>
      <c r="G61" s="255"/>
      <c r="H61" s="26" t="s">
        <v>43</v>
      </c>
      <c r="N61" s="2" t="s">
        <v>44</v>
      </c>
      <c r="O61" s="255">
        <f>'Form 2F.1 - Design'!O107</f>
        <v>0</v>
      </c>
      <c r="P61" s="255"/>
      <c r="Q61" s="255"/>
      <c r="R61" s="26" t="s">
        <v>43</v>
      </c>
      <c r="T61" s="76"/>
      <c r="X61" s="2" t="s">
        <v>40</v>
      </c>
      <c r="Y61" s="183"/>
      <c r="Z61" s="183"/>
      <c r="AA61" s="183"/>
      <c r="AB61" s="26" t="s">
        <v>43</v>
      </c>
      <c r="AG61" s="2" t="s">
        <v>44</v>
      </c>
      <c r="AH61" s="183"/>
      <c r="AI61" s="183"/>
      <c r="AJ61" s="183"/>
      <c r="AK61" s="26" t="s">
        <v>43</v>
      </c>
      <c r="AM61" s="66" t="s">
        <v>52</v>
      </c>
      <c r="AN61" s="89">
        <f>IF(ISBLANK(Y61),0,1)</f>
        <v>0</v>
      </c>
      <c r="AO61" s="66" t="s">
        <v>77</v>
      </c>
      <c r="AP61" s="89">
        <f>IF(ISBLANK(AH61),0,1)</f>
        <v>0</v>
      </c>
      <c r="AU61" s="26"/>
    </row>
    <row r="62" spans="1:47" ht="15" customHeight="1" x14ac:dyDescent="0.3">
      <c r="C62" s="2"/>
      <c r="D62" s="2" t="s">
        <v>45</v>
      </c>
      <c r="E62" s="255">
        <f>'Form 2F.1 - Design'!W107</f>
        <v>0</v>
      </c>
      <c r="F62" s="255"/>
      <c r="G62" s="255"/>
      <c r="H62" s="26" t="s">
        <v>43</v>
      </c>
      <c r="N62" s="2" t="s">
        <v>116</v>
      </c>
      <c r="O62" s="255">
        <f>'Form 2F.1 - Design'!AF107</f>
        <v>0</v>
      </c>
      <c r="P62" s="255"/>
      <c r="Q62" s="255"/>
      <c r="R62" s="26" t="s">
        <v>43</v>
      </c>
      <c r="T62" s="76"/>
      <c r="X62" s="2" t="s">
        <v>45</v>
      </c>
      <c r="Y62" s="183"/>
      <c r="Z62" s="183"/>
      <c r="AA62" s="183"/>
      <c r="AB62" s="26" t="s">
        <v>43</v>
      </c>
      <c r="AG62" s="2" t="s">
        <v>116</v>
      </c>
      <c r="AH62" s="183"/>
      <c r="AI62" s="183"/>
      <c r="AJ62" s="183"/>
      <c r="AK62" s="26" t="s">
        <v>43</v>
      </c>
      <c r="AM62" s="66" t="s">
        <v>78</v>
      </c>
      <c r="AN62" s="89">
        <f>IF(ISBLANK(Y62),0,1)</f>
        <v>0</v>
      </c>
      <c r="AO62" s="66" t="s">
        <v>79</v>
      </c>
      <c r="AP62" s="89">
        <f>IF(ISBLANK(AH62),0,1)</f>
        <v>0</v>
      </c>
      <c r="AU62" s="26"/>
    </row>
    <row r="63" spans="1:47" ht="15" customHeight="1" x14ac:dyDescent="0.3">
      <c r="B63" s="2"/>
      <c r="C63" s="2"/>
      <c r="D63" s="2"/>
      <c r="E63" s="2"/>
      <c r="F63" s="2"/>
      <c r="G63" s="2"/>
      <c r="H63" s="28"/>
      <c r="M63" s="2"/>
      <c r="N63" s="28"/>
      <c r="O63" s="28"/>
      <c r="P63" s="28"/>
      <c r="U63" s="2"/>
      <c r="V63" s="2"/>
      <c r="W63" s="28"/>
      <c r="X63" s="28"/>
      <c r="Y63" s="28"/>
      <c r="AD63" s="2"/>
      <c r="AE63" s="28"/>
      <c r="AF63" s="28"/>
      <c r="AG63" s="28"/>
      <c r="AM63" s="66"/>
      <c r="AO63" s="66"/>
      <c r="AU63" s="26"/>
    </row>
    <row r="64" spans="1:47" s="5" customFormat="1" ht="15" customHeight="1" x14ac:dyDescent="0.3">
      <c r="A64" s="259" t="s">
        <v>15</v>
      </c>
      <c r="B64" s="259"/>
      <c r="C64" s="259"/>
      <c r="D64" s="259"/>
      <c r="E64" s="259"/>
      <c r="F64" s="259"/>
      <c r="G64" s="259"/>
      <c r="H64" s="259"/>
      <c r="I64" s="259"/>
      <c r="J64" s="259"/>
      <c r="K64" s="259"/>
      <c r="L64" s="259"/>
      <c r="M64" s="259"/>
      <c r="N64" s="259"/>
      <c r="O64" s="259"/>
      <c r="P64" s="259"/>
      <c r="Q64" s="259"/>
      <c r="R64" s="259"/>
      <c r="S64" s="259"/>
      <c r="T64" s="259"/>
      <c r="U64" s="259"/>
      <c r="V64" s="259"/>
      <c r="W64" s="259"/>
      <c r="X64" s="259"/>
      <c r="Y64" s="259"/>
      <c r="Z64" s="259"/>
      <c r="AA64" s="259"/>
      <c r="AB64" s="259"/>
      <c r="AC64" s="259"/>
      <c r="AD64" s="259"/>
      <c r="AE64" s="259"/>
      <c r="AF64" s="259"/>
      <c r="AG64" s="259"/>
      <c r="AH64" s="259"/>
      <c r="AI64" s="259"/>
      <c r="AJ64" s="259"/>
      <c r="AK64" s="259"/>
      <c r="AL64" s="259"/>
      <c r="AM64" s="96"/>
      <c r="AN64" s="91"/>
      <c r="AO64" s="96"/>
      <c r="AP64" s="91"/>
      <c r="AQ64" s="91"/>
      <c r="AR64" s="91"/>
      <c r="AS64" s="20"/>
    </row>
    <row r="65" spans="1:47" ht="15" customHeight="1" x14ac:dyDescent="0.3">
      <c r="A65" s="1" t="s">
        <v>56</v>
      </c>
      <c r="C65" s="1"/>
      <c r="D65" s="1"/>
      <c r="E65" s="1"/>
      <c r="F65" s="1"/>
      <c r="H65" s="29" t="s">
        <v>46</v>
      </c>
      <c r="I65" s="248">
        <f>'Form 2F.1 - Design'!O126</f>
        <v>0</v>
      </c>
      <c r="J65" s="248"/>
      <c r="K65" s="248"/>
      <c r="L65" s="248"/>
      <c r="O65" s="57"/>
      <c r="P65" s="57"/>
      <c r="Q65" s="1"/>
      <c r="R65" s="1"/>
      <c r="S65" s="1"/>
      <c r="T65" s="76"/>
      <c r="U65" s="1" t="s">
        <v>57</v>
      </c>
      <c r="W65" s="1"/>
      <c r="X65" s="1"/>
      <c r="Y65" s="30"/>
      <c r="AA65" s="29"/>
      <c r="AC65" s="29" t="s">
        <v>46</v>
      </c>
      <c r="AD65" s="208"/>
      <c r="AE65" s="208"/>
      <c r="AF65" s="208"/>
      <c r="AG65" s="208"/>
      <c r="AH65" s="30"/>
      <c r="AI65" s="30"/>
      <c r="AJ65" s="30"/>
      <c r="AK65" s="30"/>
      <c r="AM65" s="66" t="s">
        <v>142</v>
      </c>
      <c r="AN65" s="89">
        <f>IF(ISBLANK(AD65),0,1)</f>
        <v>0</v>
      </c>
      <c r="AO65" s="66" t="s">
        <v>144</v>
      </c>
      <c r="AP65" s="89">
        <f>SUM(AN65:AN66)</f>
        <v>0</v>
      </c>
      <c r="AR65" s="66" t="s">
        <v>424</v>
      </c>
      <c r="AS65" s="89">
        <f>IF(ISBLANK(AD65),1,IF(ISTEXT(AD65)=TRUE,3,2))</f>
        <v>1</v>
      </c>
      <c r="AU65" s="26"/>
    </row>
    <row r="66" spans="1:47" ht="15" customHeight="1" x14ac:dyDescent="0.3">
      <c r="B66" s="1"/>
      <c r="C66" s="1"/>
      <c r="D66" s="1"/>
      <c r="E66" s="1"/>
      <c r="F66" s="1"/>
      <c r="H66" s="2" t="s">
        <v>47</v>
      </c>
      <c r="I66" s="249">
        <f>'Form 2F.1 - Design'!W126</f>
        <v>0</v>
      </c>
      <c r="J66" s="249"/>
      <c r="K66" s="249"/>
      <c r="L66" s="249"/>
      <c r="O66" s="57"/>
      <c r="P66" s="57"/>
      <c r="Q66" s="31"/>
      <c r="T66" s="76"/>
      <c r="AA66" s="2"/>
      <c r="AC66" s="2" t="s">
        <v>47</v>
      </c>
      <c r="AD66" s="250"/>
      <c r="AE66" s="250"/>
      <c r="AF66" s="250"/>
      <c r="AG66" s="250"/>
      <c r="AM66" s="66" t="s">
        <v>143</v>
      </c>
      <c r="AN66" s="89">
        <f>IF(ISBLANK(AD66),0,1)</f>
        <v>0</v>
      </c>
      <c r="AR66" s="66" t="s">
        <v>425</v>
      </c>
      <c r="AS66" s="89">
        <f>IF(ISBLANK(AD66),1,IF(ISTEXT(AD66)=TRUE,3,2))</f>
        <v>1</v>
      </c>
      <c r="AU66" s="26"/>
    </row>
    <row r="67" spans="1:47" ht="15" customHeight="1" x14ac:dyDescent="0.3">
      <c r="B67" s="1"/>
      <c r="C67" s="1"/>
      <c r="D67" s="1"/>
      <c r="E67" s="1"/>
      <c r="F67" s="1"/>
      <c r="G67" s="1"/>
      <c r="J67" s="2"/>
      <c r="K67" s="2"/>
      <c r="L67" s="2"/>
      <c r="M67" s="31"/>
      <c r="N67" s="31"/>
      <c r="O67" s="31"/>
      <c r="P67" s="31"/>
      <c r="Q67" s="31"/>
      <c r="U67" s="2"/>
      <c r="Z67" s="2"/>
      <c r="AA67" s="2"/>
      <c r="AB67" s="2"/>
      <c r="AC67" s="31"/>
      <c r="AD67" s="31"/>
      <c r="AE67" s="31"/>
      <c r="AF67" s="31"/>
      <c r="AU67" s="26"/>
    </row>
    <row r="68" spans="1:47" ht="15" customHeight="1" x14ac:dyDescent="0.3">
      <c r="A68" s="259" t="s">
        <v>483</v>
      </c>
      <c r="B68" s="259"/>
      <c r="C68" s="259"/>
      <c r="D68" s="259"/>
      <c r="E68" s="259"/>
      <c r="F68" s="259"/>
      <c r="G68" s="259"/>
      <c r="H68" s="259"/>
      <c r="I68" s="259"/>
      <c r="J68" s="259"/>
      <c r="K68" s="259"/>
      <c r="L68" s="259"/>
      <c r="M68" s="259"/>
      <c r="N68" s="259"/>
      <c r="O68" s="259"/>
      <c r="P68" s="259"/>
      <c r="Q68" s="259"/>
      <c r="R68" s="259"/>
      <c r="S68" s="259"/>
      <c r="T68" s="259"/>
      <c r="U68" s="259"/>
      <c r="V68" s="259"/>
      <c r="W68" s="259"/>
      <c r="X68" s="259"/>
      <c r="Y68" s="259"/>
      <c r="Z68" s="259"/>
      <c r="AA68" s="259"/>
      <c r="AB68" s="259"/>
      <c r="AC68" s="259"/>
      <c r="AD68" s="259"/>
      <c r="AE68" s="259"/>
      <c r="AF68" s="259"/>
      <c r="AG68" s="259"/>
      <c r="AH68" s="259"/>
      <c r="AI68" s="259"/>
      <c r="AJ68" s="259"/>
      <c r="AK68" s="259"/>
      <c r="AL68" s="259"/>
      <c r="AM68" s="10"/>
      <c r="AN68" s="50"/>
      <c r="AU68" s="26"/>
    </row>
    <row r="69" spans="1:47" ht="15" customHeight="1" x14ac:dyDescent="0.3">
      <c r="B69" s="1" t="s">
        <v>56</v>
      </c>
      <c r="C69" s="1"/>
      <c r="D69" s="1"/>
      <c r="E69" s="1"/>
      <c r="G69" s="2" t="s">
        <v>195</v>
      </c>
      <c r="H69" s="229">
        <f>'Form 2F.1 - Design'!L128</f>
        <v>0</v>
      </c>
      <c r="I69" s="229"/>
      <c r="J69" s="229"/>
      <c r="K69" s="229"/>
      <c r="L69" s="229"/>
      <c r="M69" s="229"/>
      <c r="N69" s="229"/>
      <c r="O69" s="229"/>
      <c r="P69" s="229"/>
      <c r="Q69" s="31"/>
      <c r="R69" s="31"/>
      <c r="S69" s="31"/>
      <c r="T69" s="139"/>
      <c r="U69" s="1" t="s">
        <v>57</v>
      </c>
      <c r="W69" s="1"/>
      <c r="X69" s="1"/>
      <c r="Z69" s="2" t="s">
        <v>195</v>
      </c>
      <c r="AA69" s="179"/>
      <c r="AB69" s="179"/>
      <c r="AC69" s="179"/>
      <c r="AD69" s="179"/>
      <c r="AE69" s="179"/>
      <c r="AF69" s="179"/>
      <c r="AG69" s="179"/>
      <c r="AH69" s="179"/>
      <c r="AI69" s="179"/>
      <c r="AJ69" s="31"/>
      <c r="AK69" s="31"/>
      <c r="AL69" s="31"/>
      <c r="AM69" s="89">
        <f>IF(ISBLANK(AA69),1,0)</f>
        <v>1</v>
      </c>
      <c r="AN69" s="50"/>
      <c r="AU69" s="26"/>
    </row>
    <row r="70" spans="1:47" ht="15" customHeight="1" x14ac:dyDescent="0.3">
      <c r="B70" s="1"/>
      <c r="C70" s="1"/>
      <c r="D70" s="2" t="s">
        <v>162</v>
      </c>
      <c r="E70" s="238">
        <f>'Form 2F.1 - Design'!F130</f>
        <v>0</v>
      </c>
      <c r="F70" s="238"/>
      <c r="G70" s="26" t="s">
        <v>43</v>
      </c>
      <c r="K70" s="2" t="s">
        <v>158</v>
      </c>
      <c r="L70" s="240">
        <f>'Form 2F.1 - Design'!L130</f>
        <v>0</v>
      </c>
      <c r="M70" s="240"/>
      <c r="N70" s="26" t="s">
        <v>43</v>
      </c>
      <c r="T70" s="140"/>
      <c r="U70" s="2"/>
      <c r="W70" s="2" t="s">
        <v>162</v>
      </c>
      <c r="X70" s="190"/>
      <c r="Y70" s="190"/>
      <c r="Z70" s="26" t="s">
        <v>43</v>
      </c>
      <c r="AD70" s="2" t="s">
        <v>158</v>
      </c>
      <c r="AE70" s="183"/>
      <c r="AF70" s="183"/>
      <c r="AG70" s="26" t="s">
        <v>43</v>
      </c>
      <c r="AM70" s="89">
        <f>IF(ISBLANK(X70),1,0)</f>
        <v>1</v>
      </c>
      <c r="AN70" s="89">
        <f>IF(ISBLANK(AE70),1,0)</f>
        <v>1</v>
      </c>
      <c r="AU70" s="26"/>
    </row>
    <row r="71" spans="1:47" ht="4.95" customHeight="1" x14ac:dyDescent="0.3">
      <c r="B71" s="1"/>
      <c r="C71" s="1"/>
      <c r="D71" s="2"/>
      <c r="E71" s="27"/>
      <c r="F71" s="27"/>
      <c r="K71" s="2"/>
      <c r="L71" s="27"/>
      <c r="M71" s="27"/>
      <c r="T71" s="140"/>
      <c r="U71" s="2"/>
      <c r="W71" s="2"/>
      <c r="X71" s="27"/>
      <c r="Y71" s="27"/>
      <c r="AD71" s="2"/>
      <c r="AE71" s="27"/>
      <c r="AF71" s="27"/>
      <c r="AM71" s="10"/>
      <c r="AN71" s="50"/>
      <c r="AU71" s="26"/>
    </row>
    <row r="72" spans="1:47" ht="15" customHeight="1" x14ac:dyDescent="0.3">
      <c r="B72" s="1"/>
      <c r="C72" s="1"/>
      <c r="D72" s="2" t="s">
        <v>221</v>
      </c>
      <c r="E72" s="238">
        <f>'Form 2F.1 - Design'!R130</f>
        <v>0</v>
      </c>
      <c r="F72" s="238"/>
      <c r="G72" s="26" t="s">
        <v>43</v>
      </c>
      <c r="L72" s="2" t="s">
        <v>452</v>
      </c>
      <c r="M72" s="99">
        <f>'Form 2F.1 - Design'!AF130</f>
        <v>0</v>
      </c>
      <c r="N72" s="26" t="s">
        <v>123</v>
      </c>
      <c r="P72" s="99">
        <f>'Form 2F.1 - Design'!AI130</f>
        <v>0</v>
      </c>
      <c r="Q72" s="31" t="s">
        <v>141</v>
      </c>
      <c r="T72" s="140"/>
      <c r="W72" s="2" t="s">
        <v>221</v>
      </c>
      <c r="X72" s="190"/>
      <c r="Y72" s="190"/>
      <c r="Z72" s="26" t="s">
        <v>43</v>
      </c>
      <c r="AE72" s="2" t="s">
        <v>452</v>
      </c>
      <c r="AF72" s="55"/>
      <c r="AG72" s="26" t="s">
        <v>123</v>
      </c>
      <c r="AI72" s="55"/>
      <c r="AJ72" s="31" t="s">
        <v>141</v>
      </c>
      <c r="AM72" s="89">
        <f>IF(ISBLANK(X72),1,0)</f>
        <v>1</v>
      </c>
      <c r="AN72" s="89">
        <f>IF(AND(ISBLANK(AF72),ISBLANK(AI72)),1,0)</f>
        <v>1</v>
      </c>
      <c r="AO72" s="89">
        <f>IF(ISBLANK(AI72),1,2)</f>
        <v>1</v>
      </c>
      <c r="AU72" s="26"/>
    </row>
    <row r="73" spans="1:47" ht="15" customHeight="1" x14ac:dyDescent="0.3">
      <c r="B73" s="1"/>
      <c r="C73" s="1"/>
      <c r="D73" s="1"/>
      <c r="E73" s="1"/>
      <c r="F73" s="1"/>
      <c r="G73" s="1"/>
      <c r="J73" s="2"/>
      <c r="K73" s="2"/>
      <c r="L73" s="2"/>
      <c r="M73" s="31"/>
      <c r="N73" s="31"/>
      <c r="O73" s="31"/>
      <c r="P73" s="31"/>
      <c r="Q73" s="31"/>
      <c r="U73" s="2"/>
      <c r="Z73" s="2"/>
      <c r="AA73" s="2"/>
      <c r="AB73" s="2"/>
      <c r="AC73" s="31"/>
      <c r="AD73" s="31"/>
      <c r="AE73" s="31"/>
      <c r="AF73" s="31"/>
      <c r="AU73" s="26"/>
    </row>
    <row r="74" spans="1:47" ht="15" customHeight="1" x14ac:dyDescent="0.3">
      <c r="A74" s="245" t="s">
        <v>16</v>
      </c>
      <c r="B74" s="245"/>
      <c r="C74" s="245"/>
      <c r="D74" s="245"/>
      <c r="E74" s="245"/>
      <c r="F74" s="245"/>
      <c r="G74" s="245"/>
      <c r="H74" s="245"/>
      <c r="I74" s="245"/>
      <c r="J74" s="245"/>
      <c r="K74" s="245"/>
      <c r="L74" s="245"/>
      <c r="M74" s="245"/>
      <c r="N74" s="245"/>
      <c r="O74" s="245"/>
      <c r="P74" s="245"/>
      <c r="Q74" s="245"/>
      <c r="R74" s="245"/>
      <c r="S74" s="245"/>
      <c r="T74" s="245"/>
      <c r="U74" s="245"/>
      <c r="V74" s="245"/>
      <c r="W74" s="245"/>
      <c r="X74" s="245"/>
      <c r="Y74" s="245"/>
      <c r="Z74" s="245"/>
      <c r="AA74" s="245"/>
      <c r="AB74" s="245"/>
      <c r="AC74" s="245"/>
      <c r="AD74" s="245"/>
      <c r="AE74" s="245"/>
      <c r="AF74" s="245"/>
      <c r="AG74" s="245"/>
      <c r="AH74" s="245"/>
      <c r="AI74" s="245"/>
      <c r="AJ74" s="245"/>
      <c r="AK74" s="245"/>
      <c r="AL74" s="245"/>
      <c r="AM74" s="91"/>
      <c r="AU74" s="26"/>
    </row>
    <row r="75" spans="1:47" ht="15" customHeight="1" x14ac:dyDescent="0.3">
      <c r="A75" s="1" t="s">
        <v>56</v>
      </c>
      <c r="C75" s="1"/>
      <c r="D75" s="1"/>
      <c r="E75" s="1"/>
      <c r="F75" s="1"/>
      <c r="H75" s="1"/>
      <c r="T75" s="76"/>
      <c r="U75" s="1" t="s">
        <v>57</v>
      </c>
      <c r="X75" s="1"/>
      <c r="Y75" s="1"/>
      <c r="AU75" s="26"/>
    </row>
    <row r="76" spans="1:47" ht="15" customHeight="1" x14ac:dyDescent="0.3">
      <c r="C76" s="4" t="s">
        <v>17</v>
      </c>
      <c r="G76" s="195" t="s">
        <v>18</v>
      </c>
      <c r="H76" s="195"/>
      <c r="I76" s="195"/>
      <c r="J76" s="195"/>
      <c r="K76" s="4"/>
      <c r="M76" s="26" t="s">
        <v>49</v>
      </c>
      <c r="T76" s="76"/>
      <c r="U76" s="2"/>
      <c r="W76" s="4" t="s">
        <v>17</v>
      </c>
      <c r="X76" s="4"/>
      <c r="Y76" s="4"/>
      <c r="AA76" s="195" t="s">
        <v>18</v>
      </c>
      <c r="AB76" s="195"/>
      <c r="AC76" s="195"/>
      <c r="AD76" s="195"/>
      <c r="AG76" s="26" t="s">
        <v>49</v>
      </c>
      <c r="AU76" s="26"/>
    </row>
    <row r="77" spans="1:47" ht="15" customHeight="1" x14ac:dyDescent="0.3">
      <c r="B77" s="238">
        <f>'Form 2F.1 - Design'!C117</f>
        <v>0</v>
      </c>
      <c r="C77" s="238"/>
      <c r="D77" s="238"/>
      <c r="E77" s="26" t="s">
        <v>43</v>
      </c>
      <c r="G77" s="239">
        <f>'Form 2F.1 - Design'!H117</f>
        <v>0</v>
      </c>
      <c r="H77" s="239"/>
      <c r="I77" s="239"/>
      <c r="J77" s="239"/>
      <c r="K77" s="26" t="s">
        <v>39</v>
      </c>
      <c r="M77" s="239">
        <f>'Form 2F.1 - Design'!M117</f>
        <v>0</v>
      </c>
      <c r="N77" s="239"/>
      <c r="O77" s="239"/>
      <c r="P77" s="239"/>
      <c r="Q77" s="26" t="s">
        <v>37</v>
      </c>
      <c r="T77" s="76"/>
      <c r="U77" s="2"/>
      <c r="V77" s="190"/>
      <c r="W77" s="190"/>
      <c r="X77" s="190"/>
      <c r="Y77" s="26" t="s">
        <v>43</v>
      </c>
      <c r="AA77" s="186"/>
      <c r="AB77" s="186"/>
      <c r="AC77" s="186"/>
      <c r="AD77" s="186"/>
      <c r="AE77" s="26" t="s">
        <v>39</v>
      </c>
      <c r="AG77" s="186"/>
      <c r="AH77" s="186"/>
      <c r="AI77" s="186"/>
      <c r="AJ77" s="186"/>
      <c r="AK77" s="26" t="s">
        <v>37</v>
      </c>
      <c r="AM77" s="89">
        <f>IF(ISBLANK(AA77),0,1)</f>
        <v>0</v>
      </c>
      <c r="AN77" s="89">
        <f>IF(ISBLANK(AG77),0,1)</f>
        <v>0</v>
      </c>
      <c r="AP77" s="89">
        <f t="shared" ref="AP77:AP90" si="0">IF(ISBLANK(V77),1,2)</f>
        <v>1</v>
      </c>
      <c r="AU77" s="26"/>
    </row>
    <row r="78" spans="1:47" ht="15" customHeight="1" x14ac:dyDescent="0.3">
      <c r="B78" s="240">
        <f>'Form 2F.1 - Design'!C118</f>
        <v>0</v>
      </c>
      <c r="C78" s="240"/>
      <c r="D78" s="240"/>
      <c r="E78" s="26" t="s">
        <v>43</v>
      </c>
      <c r="G78" s="242">
        <f>'Form 2F.1 - Design'!H118</f>
        <v>0</v>
      </c>
      <c r="H78" s="242"/>
      <c r="I78" s="242"/>
      <c r="J78" s="242"/>
      <c r="K78" s="26" t="s">
        <v>39</v>
      </c>
      <c r="M78" s="239">
        <f>'Form 2F.1 - Design'!M118</f>
        <v>0</v>
      </c>
      <c r="N78" s="239"/>
      <c r="O78" s="239"/>
      <c r="P78" s="239"/>
      <c r="Q78" s="26" t="s">
        <v>37</v>
      </c>
      <c r="T78" s="76"/>
      <c r="U78" s="2"/>
      <c r="V78" s="183"/>
      <c r="W78" s="183"/>
      <c r="X78" s="183"/>
      <c r="Y78" s="26" t="s">
        <v>43</v>
      </c>
      <c r="AA78" s="187"/>
      <c r="AB78" s="187"/>
      <c r="AC78" s="187"/>
      <c r="AD78" s="187"/>
      <c r="AE78" s="26" t="s">
        <v>39</v>
      </c>
      <c r="AG78" s="187"/>
      <c r="AH78" s="187"/>
      <c r="AI78" s="187"/>
      <c r="AJ78" s="187"/>
      <c r="AK78" s="26" t="s">
        <v>37</v>
      </c>
      <c r="AP78" s="89">
        <f t="shared" si="0"/>
        <v>1</v>
      </c>
      <c r="AU78" s="26"/>
    </row>
    <row r="79" spans="1:47" ht="15" customHeight="1" x14ac:dyDescent="0.3">
      <c r="B79" s="240">
        <f>'Form 2F.1 - Design'!C119</f>
        <v>0</v>
      </c>
      <c r="C79" s="240"/>
      <c r="D79" s="240"/>
      <c r="E79" s="26" t="s">
        <v>43</v>
      </c>
      <c r="G79" s="242">
        <f>'Form 2F.1 - Design'!H119</f>
        <v>0</v>
      </c>
      <c r="H79" s="242"/>
      <c r="I79" s="242"/>
      <c r="J79" s="242"/>
      <c r="K79" s="26" t="s">
        <v>39</v>
      </c>
      <c r="M79" s="239">
        <f>'Form 2F.1 - Design'!M119</f>
        <v>0</v>
      </c>
      <c r="N79" s="239"/>
      <c r="O79" s="239"/>
      <c r="P79" s="239"/>
      <c r="Q79" s="26" t="s">
        <v>37</v>
      </c>
      <c r="T79" s="76"/>
      <c r="U79" s="2"/>
      <c r="V79" s="183"/>
      <c r="W79" s="183"/>
      <c r="X79" s="183"/>
      <c r="Y79" s="26" t="s">
        <v>43</v>
      </c>
      <c r="AA79" s="187"/>
      <c r="AB79" s="187"/>
      <c r="AC79" s="187"/>
      <c r="AD79" s="187"/>
      <c r="AE79" s="26" t="s">
        <v>39</v>
      </c>
      <c r="AG79" s="187"/>
      <c r="AH79" s="187"/>
      <c r="AI79" s="187"/>
      <c r="AJ79" s="187"/>
      <c r="AK79" s="26" t="s">
        <v>37</v>
      </c>
      <c r="AP79" s="89">
        <f t="shared" si="0"/>
        <v>1</v>
      </c>
      <c r="AU79" s="26"/>
    </row>
    <row r="80" spans="1:47" ht="15" customHeight="1" x14ac:dyDescent="0.3">
      <c r="B80" s="240">
        <f>'Form 2F.1 - Design'!C120</f>
        <v>0</v>
      </c>
      <c r="C80" s="240"/>
      <c r="D80" s="240"/>
      <c r="E80" s="26" t="s">
        <v>43</v>
      </c>
      <c r="G80" s="242">
        <f>'Form 2F.1 - Design'!H120</f>
        <v>0</v>
      </c>
      <c r="H80" s="242"/>
      <c r="I80" s="242"/>
      <c r="J80" s="242"/>
      <c r="K80" s="26" t="s">
        <v>39</v>
      </c>
      <c r="M80" s="239">
        <f>'Form 2F.1 - Design'!M120</f>
        <v>0</v>
      </c>
      <c r="N80" s="239"/>
      <c r="O80" s="239"/>
      <c r="P80" s="239"/>
      <c r="Q80" s="26" t="s">
        <v>37</v>
      </c>
      <c r="T80" s="76"/>
      <c r="U80" s="2"/>
      <c r="V80" s="183"/>
      <c r="W80" s="183"/>
      <c r="X80" s="183"/>
      <c r="Y80" s="26" t="s">
        <v>43</v>
      </c>
      <c r="AA80" s="187"/>
      <c r="AB80" s="187"/>
      <c r="AC80" s="187"/>
      <c r="AD80" s="187"/>
      <c r="AE80" s="26" t="s">
        <v>39</v>
      </c>
      <c r="AG80" s="187"/>
      <c r="AH80" s="187"/>
      <c r="AI80" s="187"/>
      <c r="AJ80" s="187"/>
      <c r="AK80" s="26" t="s">
        <v>37</v>
      </c>
      <c r="AP80" s="89">
        <f t="shared" si="0"/>
        <v>1</v>
      </c>
      <c r="AU80" s="26"/>
    </row>
    <row r="81" spans="2:47" ht="15" customHeight="1" x14ac:dyDescent="0.3">
      <c r="B81" s="240">
        <f>'Form 2F.1 - Design'!C121</f>
        <v>0</v>
      </c>
      <c r="C81" s="240"/>
      <c r="D81" s="240"/>
      <c r="E81" s="26" t="s">
        <v>43</v>
      </c>
      <c r="G81" s="242">
        <f>'Form 2F.1 - Design'!H121</f>
        <v>0</v>
      </c>
      <c r="H81" s="242"/>
      <c r="I81" s="242"/>
      <c r="J81" s="242"/>
      <c r="K81" s="26" t="s">
        <v>39</v>
      </c>
      <c r="M81" s="239">
        <f>'Form 2F.1 - Design'!M121</f>
        <v>0</v>
      </c>
      <c r="N81" s="239"/>
      <c r="O81" s="239"/>
      <c r="P81" s="239"/>
      <c r="Q81" s="26" t="s">
        <v>37</v>
      </c>
      <c r="T81" s="76"/>
      <c r="U81" s="2"/>
      <c r="V81" s="183"/>
      <c r="W81" s="183"/>
      <c r="X81" s="183"/>
      <c r="Y81" s="26" t="s">
        <v>43</v>
      </c>
      <c r="AA81" s="187"/>
      <c r="AB81" s="187"/>
      <c r="AC81" s="187"/>
      <c r="AD81" s="187"/>
      <c r="AE81" s="26" t="s">
        <v>39</v>
      </c>
      <c r="AG81" s="187"/>
      <c r="AH81" s="187"/>
      <c r="AI81" s="187"/>
      <c r="AJ81" s="187"/>
      <c r="AK81" s="26" t="s">
        <v>37</v>
      </c>
      <c r="AP81" s="89">
        <f t="shared" si="0"/>
        <v>1</v>
      </c>
      <c r="AU81" s="26"/>
    </row>
    <row r="82" spans="2:47" ht="15" customHeight="1" x14ac:dyDescent="0.3">
      <c r="B82" s="240">
        <f>'Form 2F.1 - Design'!C122</f>
        <v>0</v>
      </c>
      <c r="C82" s="240"/>
      <c r="D82" s="240"/>
      <c r="E82" s="26" t="s">
        <v>43</v>
      </c>
      <c r="G82" s="242">
        <f>'Form 2F.1 - Design'!H122</f>
        <v>0</v>
      </c>
      <c r="H82" s="242"/>
      <c r="I82" s="242"/>
      <c r="J82" s="242"/>
      <c r="K82" s="26" t="s">
        <v>39</v>
      </c>
      <c r="M82" s="239">
        <f>'Form 2F.1 - Design'!M122</f>
        <v>0</v>
      </c>
      <c r="N82" s="239"/>
      <c r="O82" s="239"/>
      <c r="P82" s="239"/>
      <c r="Q82" s="26" t="s">
        <v>37</v>
      </c>
      <c r="T82" s="76"/>
      <c r="U82" s="2"/>
      <c r="V82" s="183"/>
      <c r="W82" s="183"/>
      <c r="X82" s="183"/>
      <c r="Y82" s="26" t="s">
        <v>43</v>
      </c>
      <c r="AA82" s="187"/>
      <c r="AB82" s="187"/>
      <c r="AC82" s="187"/>
      <c r="AD82" s="187"/>
      <c r="AE82" s="26" t="s">
        <v>39</v>
      </c>
      <c r="AG82" s="187"/>
      <c r="AH82" s="187"/>
      <c r="AI82" s="187"/>
      <c r="AJ82" s="187"/>
      <c r="AK82" s="26" t="s">
        <v>37</v>
      </c>
      <c r="AP82" s="89">
        <f t="shared" si="0"/>
        <v>1</v>
      </c>
      <c r="AU82" s="26"/>
    </row>
    <row r="83" spans="2:47" ht="15" customHeight="1" x14ac:dyDescent="0.3">
      <c r="B83" s="240">
        <f>'Form 2F.1 - Design'!C123</f>
        <v>0</v>
      </c>
      <c r="C83" s="240"/>
      <c r="D83" s="240"/>
      <c r="E83" s="26" t="s">
        <v>43</v>
      </c>
      <c r="G83" s="242">
        <f>'Form 2F.1 - Design'!H123</f>
        <v>0</v>
      </c>
      <c r="H83" s="242"/>
      <c r="I83" s="242"/>
      <c r="J83" s="242"/>
      <c r="K83" s="26" t="s">
        <v>39</v>
      </c>
      <c r="M83" s="239">
        <f>'Form 2F.1 - Design'!M123</f>
        <v>0</v>
      </c>
      <c r="N83" s="239"/>
      <c r="O83" s="239"/>
      <c r="P83" s="239"/>
      <c r="Q83" s="26" t="s">
        <v>37</v>
      </c>
      <c r="T83" s="76"/>
      <c r="U83" s="2"/>
      <c r="V83" s="183"/>
      <c r="W83" s="183"/>
      <c r="X83" s="183"/>
      <c r="Y83" s="26" t="s">
        <v>43</v>
      </c>
      <c r="AA83" s="187"/>
      <c r="AB83" s="187"/>
      <c r="AC83" s="187"/>
      <c r="AD83" s="187"/>
      <c r="AE83" s="26" t="s">
        <v>39</v>
      </c>
      <c r="AG83" s="187"/>
      <c r="AH83" s="187"/>
      <c r="AI83" s="187"/>
      <c r="AJ83" s="187"/>
      <c r="AK83" s="26" t="s">
        <v>37</v>
      </c>
      <c r="AP83" s="89">
        <f t="shared" si="0"/>
        <v>1</v>
      </c>
      <c r="AU83" s="26"/>
    </row>
    <row r="84" spans="2:47" ht="15" customHeight="1" x14ac:dyDescent="0.3">
      <c r="B84" s="240">
        <f>'Form 2F.1 - Design'!S117</f>
        <v>0</v>
      </c>
      <c r="C84" s="240"/>
      <c r="D84" s="240"/>
      <c r="E84" s="26" t="s">
        <v>43</v>
      </c>
      <c r="G84" s="242">
        <f>'Form 2F.1 - Design'!X117</f>
        <v>0</v>
      </c>
      <c r="H84" s="242"/>
      <c r="I84" s="242"/>
      <c r="J84" s="242"/>
      <c r="K84" s="26" t="s">
        <v>39</v>
      </c>
      <c r="M84" s="239">
        <f>'Form 2F.1 - Design'!AC117</f>
        <v>0</v>
      </c>
      <c r="N84" s="239"/>
      <c r="O84" s="239"/>
      <c r="P84" s="239"/>
      <c r="Q84" s="26" t="s">
        <v>37</v>
      </c>
      <c r="T84" s="76"/>
      <c r="U84" s="2"/>
      <c r="V84" s="183"/>
      <c r="W84" s="183"/>
      <c r="X84" s="183"/>
      <c r="Y84" s="26" t="s">
        <v>43</v>
      </c>
      <c r="AA84" s="187"/>
      <c r="AB84" s="187"/>
      <c r="AC84" s="187"/>
      <c r="AD84" s="187"/>
      <c r="AE84" s="26" t="s">
        <v>39</v>
      </c>
      <c r="AG84" s="187"/>
      <c r="AH84" s="187"/>
      <c r="AI84" s="187"/>
      <c r="AJ84" s="187"/>
      <c r="AK84" s="26" t="s">
        <v>37</v>
      </c>
      <c r="AP84" s="89">
        <f t="shared" si="0"/>
        <v>1</v>
      </c>
      <c r="AU84" s="26"/>
    </row>
    <row r="85" spans="2:47" ht="15" customHeight="1" x14ac:dyDescent="0.3">
      <c r="B85" s="240">
        <f>'Form 2F.1 - Design'!S118</f>
        <v>0</v>
      </c>
      <c r="C85" s="240"/>
      <c r="D85" s="240"/>
      <c r="E85" s="26" t="s">
        <v>43</v>
      </c>
      <c r="G85" s="242">
        <f>'Form 2F.1 - Design'!X118</f>
        <v>0</v>
      </c>
      <c r="H85" s="242"/>
      <c r="I85" s="242"/>
      <c r="J85" s="242"/>
      <c r="K85" s="26" t="s">
        <v>39</v>
      </c>
      <c r="M85" s="239">
        <f>'Form 2F.1 - Design'!AC118</f>
        <v>0</v>
      </c>
      <c r="N85" s="239"/>
      <c r="O85" s="239"/>
      <c r="P85" s="239"/>
      <c r="Q85" s="26" t="s">
        <v>37</v>
      </c>
      <c r="T85" s="76"/>
      <c r="U85" s="2"/>
      <c r="V85" s="183"/>
      <c r="W85" s="183"/>
      <c r="X85" s="183"/>
      <c r="Y85" s="26" t="s">
        <v>43</v>
      </c>
      <c r="AA85" s="187"/>
      <c r="AB85" s="187"/>
      <c r="AC85" s="187"/>
      <c r="AD85" s="187"/>
      <c r="AE85" s="26" t="s">
        <v>39</v>
      </c>
      <c r="AG85" s="187"/>
      <c r="AH85" s="187"/>
      <c r="AI85" s="187"/>
      <c r="AJ85" s="187"/>
      <c r="AK85" s="26" t="s">
        <v>37</v>
      </c>
      <c r="AP85" s="89">
        <f t="shared" si="0"/>
        <v>1</v>
      </c>
      <c r="AU85" s="26"/>
    </row>
    <row r="86" spans="2:47" ht="15" customHeight="1" x14ac:dyDescent="0.3">
      <c r="B86" s="240">
        <f>'Form 2F.1 - Design'!S119</f>
        <v>0</v>
      </c>
      <c r="C86" s="240"/>
      <c r="D86" s="240"/>
      <c r="E86" s="26" t="s">
        <v>43</v>
      </c>
      <c r="G86" s="242">
        <f>'Form 2F.1 - Design'!X119</f>
        <v>0</v>
      </c>
      <c r="H86" s="242"/>
      <c r="I86" s="242"/>
      <c r="J86" s="242"/>
      <c r="K86" s="26" t="s">
        <v>39</v>
      </c>
      <c r="M86" s="239">
        <f>'Form 2F.1 - Design'!AC119</f>
        <v>0</v>
      </c>
      <c r="N86" s="239"/>
      <c r="O86" s="239"/>
      <c r="P86" s="239"/>
      <c r="Q86" s="26" t="s">
        <v>37</v>
      </c>
      <c r="T86" s="76"/>
      <c r="U86" s="2"/>
      <c r="V86" s="183"/>
      <c r="W86" s="183"/>
      <c r="X86" s="183"/>
      <c r="Y86" s="26" t="s">
        <v>43</v>
      </c>
      <c r="AA86" s="187"/>
      <c r="AB86" s="187"/>
      <c r="AC86" s="187"/>
      <c r="AD86" s="187"/>
      <c r="AE86" s="26" t="s">
        <v>39</v>
      </c>
      <c r="AG86" s="187"/>
      <c r="AH86" s="187"/>
      <c r="AI86" s="187"/>
      <c r="AJ86" s="187"/>
      <c r="AK86" s="26" t="s">
        <v>37</v>
      </c>
      <c r="AP86" s="89">
        <f t="shared" si="0"/>
        <v>1</v>
      </c>
      <c r="AU86" s="26"/>
    </row>
    <row r="87" spans="2:47" ht="15" customHeight="1" x14ac:dyDescent="0.3">
      <c r="B87" s="240">
        <f>'Form 2F.1 - Design'!S120</f>
        <v>0</v>
      </c>
      <c r="C87" s="240"/>
      <c r="D87" s="240"/>
      <c r="E87" s="26" t="s">
        <v>43</v>
      </c>
      <c r="G87" s="242">
        <f>'Form 2F.1 - Design'!X120</f>
        <v>0</v>
      </c>
      <c r="H87" s="242"/>
      <c r="I87" s="242"/>
      <c r="J87" s="242"/>
      <c r="K87" s="26" t="s">
        <v>39</v>
      </c>
      <c r="M87" s="239">
        <f>'Form 2F.1 - Design'!AC120</f>
        <v>0</v>
      </c>
      <c r="N87" s="239"/>
      <c r="O87" s="239"/>
      <c r="P87" s="239"/>
      <c r="Q87" s="26" t="s">
        <v>37</v>
      </c>
      <c r="T87" s="76"/>
      <c r="U87" s="2"/>
      <c r="V87" s="183"/>
      <c r="W87" s="183"/>
      <c r="X87" s="183"/>
      <c r="Y87" s="26" t="s">
        <v>43</v>
      </c>
      <c r="AA87" s="187"/>
      <c r="AB87" s="187"/>
      <c r="AC87" s="187"/>
      <c r="AD87" s="187"/>
      <c r="AE87" s="26" t="s">
        <v>39</v>
      </c>
      <c r="AG87" s="187"/>
      <c r="AH87" s="187"/>
      <c r="AI87" s="187"/>
      <c r="AJ87" s="187"/>
      <c r="AK87" s="26" t="s">
        <v>37</v>
      </c>
      <c r="AP87" s="89">
        <f t="shared" si="0"/>
        <v>1</v>
      </c>
      <c r="AU87" s="26"/>
    </row>
    <row r="88" spans="2:47" ht="15" customHeight="1" x14ac:dyDescent="0.3">
      <c r="B88" s="240">
        <f>'Form 2F.1 - Design'!S121</f>
        <v>0</v>
      </c>
      <c r="C88" s="240"/>
      <c r="D88" s="240"/>
      <c r="E88" s="26" t="s">
        <v>43</v>
      </c>
      <c r="G88" s="242">
        <f>'Form 2F.1 - Design'!X121</f>
        <v>0</v>
      </c>
      <c r="H88" s="242"/>
      <c r="I88" s="242"/>
      <c r="J88" s="242"/>
      <c r="K88" s="26" t="s">
        <v>39</v>
      </c>
      <c r="M88" s="239">
        <f>'Form 2F.1 - Design'!AC121</f>
        <v>0</v>
      </c>
      <c r="N88" s="239"/>
      <c r="O88" s="239"/>
      <c r="P88" s="239"/>
      <c r="Q88" s="26" t="s">
        <v>37</v>
      </c>
      <c r="T88" s="76"/>
      <c r="U88" s="2"/>
      <c r="V88" s="183"/>
      <c r="W88" s="183"/>
      <c r="X88" s="183"/>
      <c r="Y88" s="26" t="s">
        <v>43</v>
      </c>
      <c r="AA88" s="187"/>
      <c r="AB88" s="187"/>
      <c r="AC88" s="187"/>
      <c r="AD88" s="187"/>
      <c r="AE88" s="26" t="s">
        <v>39</v>
      </c>
      <c r="AG88" s="187"/>
      <c r="AH88" s="187"/>
      <c r="AI88" s="187"/>
      <c r="AJ88" s="187"/>
      <c r="AK88" s="26" t="s">
        <v>37</v>
      </c>
      <c r="AP88" s="89">
        <f t="shared" si="0"/>
        <v>1</v>
      </c>
      <c r="AU88" s="26"/>
    </row>
    <row r="89" spans="2:47" ht="15" customHeight="1" x14ac:dyDescent="0.3">
      <c r="B89" s="240">
        <f>'Form 2F.1 - Design'!S122</f>
        <v>0</v>
      </c>
      <c r="C89" s="240"/>
      <c r="D89" s="240"/>
      <c r="E89" s="26" t="s">
        <v>43</v>
      </c>
      <c r="G89" s="242">
        <f>'Form 2F.1 - Design'!X122</f>
        <v>0</v>
      </c>
      <c r="H89" s="242"/>
      <c r="I89" s="242"/>
      <c r="J89" s="242"/>
      <c r="K89" s="26" t="s">
        <v>39</v>
      </c>
      <c r="M89" s="239">
        <f>'Form 2F.1 - Design'!AC122</f>
        <v>0</v>
      </c>
      <c r="N89" s="239"/>
      <c r="O89" s="239"/>
      <c r="P89" s="239"/>
      <c r="Q89" s="26" t="s">
        <v>37</v>
      </c>
      <c r="T89" s="76"/>
      <c r="U89" s="2"/>
      <c r="V89" s="183"/>
      <c r="W89" s="183"/>
      <c r="X89" s="183"/>
      <c r="Y89" s="26" t="s">
        <v>43</v>
      </c>
      <c r="AA89" s="187"/>
      <c r="AB89" s="187"/>
      <c r="AC89" s="187"/>
      <c r="AD89" s="187"/>
      <c r="AE89" s="26" t="s">
        <v>39</v>
      </c>
      <c r="AG89" s="187"/>
      <c r="AH89" s="187"/>
      <c r="AI89" s="187"/>
      <c r="AJ89" s="187"/>
      <c r="AK89" s="26" t="s">
        <v>37</v>
      </c>
      <c r="AP89" s="89">
        <f t="shared" si="0"/>
        <v>1</v>
      </c>
      <c r="AU89" s="26"/>
    </row>
    <row r="90" spans="2:47" ht="15" customHeight="1" x14ac:dyDescent="0.3">
      <c r="B90" s="240">
        <f>'Form 2F.1 - Design'!S123</f>
        <v>0</v>
      </c>
      <c r="C90" s="240"/>
      <c r="D90" s="240"/>
      <c r="E90" s="26" t="s">
        <v>43</v>
      </c>
      <c r="G90" s="242">
        <f>'Form 2F.1 - Design'!X123</f>
        <v>0</v>
      </c>
      <c r="H90" s="242"/>
      <c r="I90" s="242"/>
      <c r="J90" s="242"/>
      <c r="K90" s="26" t="s">
        <v>39</v>
      </c>
      <c r="M90" s="239">
        <f>'Form 2F.1 - Design'!AC123</f>
        <v>0</v>
      </c>
      <c r="N90" s="239"/>
      <c r="O90" s="239"/>
      <c r="P90" s="239"/>
      <c r="Q90" s="26" t="s">
        <v>37</v>
      </c>
      <c r="T90" s="76"/>
      <c r="U90" s="2"/>
      <c r="V90" s="183"/>
      <c r="W90" s="183"/>
      <c r="X90" s="183"/>
      <c r="Y90" s="26" t="s">
        <v>43</v>
      </c>
      <c r="AA90" s="187"/>
      <c r="AB90" s="187"/>
      <c r="AC90" s="187"/>
      <c r="AD90" s="187"/>
      <c r="AE90" s="26" t="s">
        <v>39</v>
      </c>
      <c r="AG90" s="187"/>
      <c r="AH90" s="187"/>
      <c r="AI90" s="187"/>
      <c r="AJ90" s="187"/>
      <c r="AK90" s="26" t="s">
        <v>37</v>
      </c>
      <c r="AP90" s="89">
        <f t="shared" si="0"/>
        <v>1</v>
      </c>
      <c r="AU90" s="26"/>
    </row>
    <row r="91" spans="2:47" ht="15" customHeight="1" x14ac:dyDescent="0.3">
      <c r="AK91" s="28"/>
      <c r="AU91" s="26"/>
    </row>
    <row r="92" spans="2:47" ht="15" customHeight="1" x14ac:dyDescent="0.3">
      <c r="AK92" s="28"/>
      <c r="AU92" s="26"/>
    </row>
    <row r="93" spans="2:47" ht="15" customHeight="1" x14ac:dyDescent="0.3">
      <c r="AK93" s="28"/>
      <c r="AU93" s="26"/>
    </row>
    <row r="94" spans="2:47" ht="15" customHeight="1" x14ac:dyDescent="0.3">
      <c r="AK94" s="28"/>
      <c r="AU94" s="26"/>
    </row>
    <row r="95" spans="2:47" ht="15" customHeight="1" x14ac:dyDescent="0.3">
      <c r="AK95" s="28"/>
      <c r="AU95" s="26"/>
    </row>
    <row r="96" spans="2:47" ht="15" customHeight="1" x14ac:dyDescent="0.3">
      <c r="AK96" s="28"/>
      <c r="AU96" s="26"/>
    </row>
    <row r="97" spans="1:58" ht="15" customHeight="1" x14ac:dyDescent="0.3">
      <c r="AK97" s="28"/>
      <c r="AU97" s="26"/>
    </row>
    <row r="98" spans="1:58" ht="15" customHeight="1" x14ac:dyDescent="0.3">
      <c r="AK98" s="28"/>
      <c r="AU98" s="26"/>
    </row>
    <row r="99" spans="1:58" ht="15" customHeight="1" x14ac:dyDescent="0.3">
      <c r="B99" s="194">
        <f>Tables!$F$13</f>
        <v>45931</v>
      </c>
      <c r="C99" s="194"/>
      <c r="D99" s="194"/>
      <c r="E99" s="194"/>
      <c r="F99" s="194"/>
      <c r="G99" s="194"/>
      <c r="H99" s="194"/>
      <c r="R99" s="195" t="s">
        <v>342</v>
      </c>
      <c r="S99" s="195"/>
      <c r="T99" s="195"/>
      <c r="U99" s="195"/>
      <c r="AK99" s="28"/>
      <c r="AU99" s="26"/>
    </row>
    <row r="100" spans="1:58" ht="15" customHeight="1" x14ac:dyDescent="0.3">
      <c r="C100" s="2" t="s">
        <v>1</v>
      </c>
      <c r="D100" s="192">
        <f>IF(ISBLANK($E$7),"",$E$7)</f>
        <v>0</v>
      </c>
      <c r="E100" s="192"/>
      <c r="F100" s="192"/>
      <c r="G100" s="192"/>
      <c r="H100" s="192"/>
      <c r="I100" s="192"/>
      <c r="J100" s="192"/>
      <c r="K100" s="192"/>
      <c r="L100" s="192"/>
      <c r="M100" s="192"/>
      <c r="N100" s="192"/>
      <c r="O100" s="192"/>
      <c r="P100" s="192"/>
      <c r="Q100" s="192"/>
      <c r="R100" s="192"/>
      <c r="S100" s="192"/>
      <c r="T100" s="192"/>
      <c r="U100" s="192"/>
      <c r="V100" s="192"/>
      <c r="W100" s="192"/>
      <c r="X100" s="192"/>
      <c r="Y100" s="192"/>
      <c r="Z100" s="192"/>
      <c r="AA100" s="33"/>
      <c r="AB100" s="33"/>
      <c r="AC100" s="33"/>
      <c r="AF100" s="2" t="s">
        <v>21</v>
      </c>
      <c r="AG100" s="217">
        <f>$AF$7</f>
        <v>0</v>
      </c>
      <c r="AH100" s="217"/>
      <c r="AI100" s="217"/>
      <c r="AJ100" s="217"/>
      <c r="AK100" s="217"/>
      <c r="AU100" s="26"/>
    </row>
    <row r="101" spans="1:58" ht="15" customHeight="1" x14ac:dyDescent="0.3">
      <c r="H101" s="34"/>
      <c r="I101" s="34"/>
      <c r="J101" s="2"/>
      <c r="K101" s="2"/>
      <c r="L101" s="2"/>
      <c r="M101" s="34"/>
      <c r="N101" s="33"/>
      <c r="O101" s="33"/>
      <c r="P101" s="33"/>
      <c r="Q101" s="33"/>
      <c r="R101" s="33"/>
      <c r="S101" s="33"/>
      <c r="T101" s="33"/>
      <c r="U101" s="33"/>
      <c r="V101" s="33"/>
      <c r="W101" s="33"/>
      <c r="X101" s="33"/>
      <c r="Y101" s="33"/>
      <c r="Z101" s="33"/>
      <c r="AA101" s="33"/>
      <c r="AB101" s="33"/>
      <c r="AC101" s="33"/>
      <c r="AF101" s="2" t="s">
        <v>34</v>
      </c>
      <c r="AG101" s="243">
        <f>IF(ISBLANK($AF$8),"",$AF$8)</f>
        <v>0</v>
      </c>
      <c r="AH101" s="243"/>
      <c r="AI101" s="243"/>
      <c r="AJ101" s="243"/>
      <c r="AK101" s="243"/>
      <c r="AU101" s="26"/>
    </row>
    <row r="102" spans="1:58" ht="15" customHeight="1" x14ac:dyDescent="0.3">
      <c r="H102" s="28"/>
      <c r="J102" s="32"/>
      <c r="K102" s="32"/>
      <c r="L102" s="32"/>
      <c r="N102" s="35"/>
      <c r="O102" s="35"/>
      <c r="P102" s="35"/>
      <c r="Q102" s="35"/>
      <c r="W102" s="28"/>
      <c r="X102" s="28"/>
      <c r="Y102" s="28"/>
      <c r="AA102" s="32"/>
      <c r="AB102" s="32"/>
      <c r="AC102" s="32"/>
      <c r="AE102" s="35"/>
      <c r="AF102" s="35"/>
      <c r="AG102" s="35"/>
      <c r="AH102" s="35"/>
      <c r="AU102" s="26"/>
    </row>
    <row r="103" spans="1:58" ht="15" customHeight="1" x14ac:dyDescent="0.3">
      <c r="A103" s="245" t="s">
        <v>58</v>
      </c>
      <c r="B103" s="245"/>
      <c r="C103" s="245"/>
      <c r="D103" s="245"/>
      <c r="E103" s="245"/>
      <c r="F103" s="245"/>
      <c r="G103" s="245"/>
      <c r="H103" s="245"/>
      <c r="I103" s="245"/>
      <c r="J103" s="245"/>
      <c r="K103" s="245"/>
      <c r="L103" s="245"/>
      <c r="M103" s="245"/>
      <c r="N103" s="245"/>
      <c r="O103" s="245"/>
      <c r="P103" s="245"/>
      <c r="Q103" s="245"/>
      <c r="R103" s="245"/>
      <c r="S103" s="245"/>
      <c r="T103" s="245"/>
      <c r="U103" s="245"/>
      <c r="V103" s="245"/>
      <c r="W103" s="245"/>
      <c r="X103" s="245"/>
      <c r="Y103" s="245"/>
      <c r="Z103" s="245"/>
      <c r="AA103" s="245"/>
      <c r="AB103" s="245"/>
      <c r="AC103" s="245"/>
      <c r="AD103" s="245"/>
      <c r="AE103" s="245"/>
      <c r="AF103" s="245"/>
      <c r="AG103" s="245"/>
      <c r="AH103" s="245"/>
      <c r="AI103" s="245"/>
      <c r="AJ103" s="245"/>
      <c r="AK103" s="245"/>
      <c r="AL103" s="245"/>
      <c r="AM103" s="91"/>
      <c r="AN103" s="91"/>
      <c r="AU103" s="26"/>
    </row>
    <row r="104" spans="1:58" ht="4.95" customHeight="1" x14ac:dyDescent="0.3">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c r="AA104" s="17"/>
      <c r="AB104" s="17"/>
      <c r="AC104" s="17"/>
      <c r="AD104" s="17"/>
      <c r="AE104" s="17"/>
      <c r="AF104" s="17"/>
      <c r="AG104" s="17"/>
      <c r="AH104" s="17"/>
      <c r="AI104" s="17"/>
      <c r="AJ104" s="17"/>
      <c r="AK104" s="17"/>
      <c r="AL104" s="17"/>
      <c r="AM104" s="91"/>
      <c r="AN104" s="91"/>
      <c r="AU104" s="26"/>
    </row>
    <row r="105" spans="1:58" ht="15" customHeight="1" x14ac:dyDescent="0.3">
      <c r="A105" s="1" t="s">
        <v>56</v>
      </c>
      <c r="C105" s="1"/>
      <c r="D105" s="1"/>
      <c r="E105" s="1"/>
      <c r="F105" s="1"/>
      <c r="I105" s="27" t="s">
        <v>59</v>
      </c>
      <c r="J105" s="244">
        <f>'Form 2F.1 - Design'!W21</f>
        <v>0</v>
      </c>
      <c r="K105" s="244"/>
      <c r="L105" s="244"/>
      <c r="M105" s="26" t="s">
        <v>37</v>
      </c>
      <c r="T105" s="76"/>
      <c r="U105" s="1" t="s">
        <v>57</v>
      </c>
      <c r="W105" s="1"/>
      <c r="X105" s="1"/>
      <c r="AC105" s="27" t="s">
        <v>60</v>
      </c>
      <c r="AD105" s="186"/>
      <c r="AE105" s="186"/>
      <c r="AF105" s="186"/>
      <c r="AG105" s="26" t="s">
        <v>37</v>
      </c>
      <c r="AM105" s="66" t="s">
        <v>147</v>
      </c>
      <c r="AN105" s="89">
        <f>IF(OR(AD105&gt;J105,AD105=J105),1,2)</f>
        <v>1</v>
      </c>
      <c r="AO105" s="89">
        <f>IF(OR(J105=0,ISBLANK(AD105)),2,1)</f>
        <v>2</v>
      </c>
      <c r="AU105" s="26"/>
    </row>
    <row r="106" spans="1:58" ht="4.95" customHeight="1" x14ac:dyDescent="0.3">
      <c r="H106" s="28"/>
      <c r="J106" s="32"/>
      <c r="K106" s="32"/>
      <c r="L106" s="32"/>
      <c r="N106" s="35"/>
      <c r="O106" s="35"/>
      <c r="P106" s="35"/>
      <c r="Q106" s="35"/>
      <c r="W106" s="28"/>
      <c r="X106" s="28"/>
      <c r="Y106" s="28"/>
      <c r="AA106" s="32"/>
      <c r="AB106" s="32"/>
      <c r="AC106" s="32"/>
      <c r="AE106" s="35"/>
      <c r="AF106" s="35"/>
      <c r="AG106" s="35"/>
      <c r="AH106" s="35"/>
      <c r="AU106" s="26"/>
    </row>
    <row r="107" spans="1:58" ht="15" customHeight="1" x14ac:dyDescent="0.3">
      <c r="A107" s="245" t="s">
        <v>206</v>
      </c>
      <c r="B107" s="245"/>
      <c r="C107" s="245"/>
      <c r="D107" s="245"/>
      <c r="E107" s="245"/>
      <c r="F107" s="245"/>
      <c r="G107" s="245"/>
      <c r="H107" s="245"/>
      <c r="I107" s="245"/>
      <c r="J107" s="245"/>
      <c r="K107" s="245"/>
      <c r="L107" s="245"/>
      <c r="M107" s="245"/>
      <c r="N107" s="245"/>
      <c r="O107" s="245"/>
      <c r="P107" s="245"/>
      <c r="Q107" s="245"/>
      <c r="R107" s="245"/>
      <c r="S107" s="245"/>
      <c r="T107" s="245"/>
      <c r="U107" s="245"/>
      <c r="V107" s="245"/>
      <c r="W107" s="245"/>
      <c r="X107" s="245"/>
      <c r="Y107" s="245"/>
      <c r="Z107" s="245"/>
      <c r="AA107" s="245"/>
      <c r="AB107" s="245"/>
      <c r="AC107" s="245"/>
      <c r="AD107" s="245"/>
      <c r="AE107" s="245"/>
      <c r="AF107" s="245"/>
      <c r="AG107" s="245"/>
      <c r="AH107" s="245"/>
      <c r="AI107" s="245"/>
      <c r="AJ107" s="245"/>
      <c r="AK107" s="245"/>
      <c r="AL107" s="245"/>
      <c r="AM107" s="91"/>
      <c r="AN107" s="91"/>
      <c r="AU107" s="26"/>
    </row>
    <row r="108" spans="1:58" ht="30" customHeight="1" x14ac:dyDescent="0.3">
      <c r="B108" s="1" t="s">
        <v>56</v>
      </c>
      <c r="I108" s="241" t="s">
        <v>125</v>
      </c>
      <c r="J108" s="241"/>
      <c r="K108" s="241"/>
      <c r="L108" s="241"/>
      <c r="M108" s="1"/>
      <c r="N108" s="241" t="s">
        <v>210</v>
      </c>
      <c r="O108" s="241"/>
      <c r="P108" s="241"/>
      <c r="Q108" s="241"/>
      <c r="S108" s="241" t="s">
        <v>211</v>
      </c>
      <c r="T108" s="241"/>
      <c r="U108" s="241"/>
      <c r="V108" s="241"/>
      <c r="X108" s="241" t="s">
        <v>272</v>
      </c>
      <c r="Y108" s="241"/>
      <c r="Z108" s="241"/>
      <c r="AA108" s="241"/>
      <c r="AC108" s="241" t="s">
        <v>247</v>
      </c>
      <c r="AD108" s="241"/>
      <c r="AE108" s="241"/>
      <c r="AF108" s="241"/>
      <c r="AH108" s="241" t="s">
        <v>126</v>
      </c>
      <c r="AI108" s="241"/>
      <c r="AJ108" s="241"/>
      <c r="AK108" s="241"/>
      <c r="AM108" s="10" t="s">
        <v>326</v>
      </c>
      <c r="AN108" s="10" t="s">
        <v>301</v>
      </c>
      <c r="AO108" s="20" t="s">
        <v>362</v>
      </c>
      <c r="AQ108" s="95">
        <f>Tables!F26</f>
        <v>6</v>
      </c>
      <c r="AR108" s="10" t="s">
        <v>279</v>
      </c>
      <c r="AY108" s="25"/>
      <c r="AZ108" s="25"/>
      <c r="BA108" s="25"/>
      <c r="BB108" s="25"/>
      <c r="BC108" s="25"/>
      <c r="BD108" s="25"/>
      <c r="BE108" s="25"/>
      <c r="BF108" s="25"/>
    </row>
    <row r="109" spans="1:58" ht="15" customHeight="1" x14ac:dyDescent="0.3">
      <c r="C109" s="193">
        <f>Tables!$F$16</f>
        <v>6.02</v>
      </c>
      <c r="D109" s="193"/>
      <c r="G109" s="2" t="str">
        <f>Tables!$D$16</f>
        <v>(2-yr)</v>
      </c>
      <c r="I109" s="214">
        <f>'Form 2F.1 - Design'!M133</f>
        <v>0</v>
      </c>
      <c r="J109" s="214"/>
      <c r="K109" s="214"/>
      <c r="L109" s="214"/>
      <c r="N109" s="236">
        <f>'Form 2F.1 - Design'!Q133</f>
        <v>0</v>
      </c>
      <c r="O109" s="236"/>
      <c r="P109" s="236"/>
      <c r="Q109" s="236"/>
      <c r="S109" s="236">
        <f>'Form 2F.1 - Design'!U133</f>
        <v>0</v>
      </c>
      <c r="T109" s="236"/>
      <c r="U109" s="236"/>
      <c r="V109" s="236"/>
      <c r="X109" s="236">
        <f>'Form 2F.1 - Design'!Y133</f>
        <v>0</v>
      </c>
      <c r="Y109" s="236"/>
      <c r="Z109" s="236"/>
      <c r="AA109" s="236"/>
      <c r="AC109" s="236">
        <f>'Form 2F.1 - Design'!AC133</f>
        <v>0</v>
      </c>
      <c r="AD109" s="236"/>
      <c r="AE109" s="236"/>
      <c r="AF109" s="236"/>
      <c r="AH109" s="236">
        <f>'Form 2F.1 - Design'!AG133</f>
        <v>0</v>
      </c>
      <c r="AI109" s="236"/>
      <c r="AJ109" s="236"/>
      <c r="AK109" s="236"/>
      <c r="AM109" s="89">
        <f>IF(AH109&gt;I109,1,0)</f>
        <v>0</v>
      </c>
      <c r="AN109" s="89">
        <f>IF(OR($AR$110=0,$AR$112=2),0,IF($AH109&gt;$AR$110,1,0))</f>
        <v>0</v>
      </c>
      <c r="AO109" s="89">
        <f>IF(OR($AR$111=0,$AR$112=2),0,IF($AH109&gt;$AR$111,1,0))</f>
        <v>0</v>
      </c>
      <c r="AQ109" s="20" t="s">
        <v>359</v>
      </c>
      <c r="AR109" s="20" t="s">
        <v>148</v>
      </c>
      <c r="AX109"/>
      <c r="AY109" s="25"/>
      <c r="AZ109" s="25"/>
      <c r="BA109" s="25"/>
      <c r="BB109" s="25"/>
      <c r="BC109" s="25"/>
      <c r="BD109" s="25"/>
      <c r="BE109" s="25"/>
      <c r="BF109" s="25"/>
    </row>
    <row r="110" spans="1:58" ht="15" customHeight="1" x14ac:dyDescent="0.3">
      <c r="C110" s="193">
        <f>Tables!$F$17</f>
        <v>7.68</v>
      </c>
      <c r="D110" s="193"/>
      <c r="G110" s="2" t="str">
        <f>Tables!$D$17</f>
        <v>(5-yr)</v>
      </c>
      <c r="I110" s="214">
        <f>'Form 2F.1 - Design'!M134</f>
        <v>0</v>
      </c>
      <c r="J110" s="214"/>
      <c r="K110" s="214"/>
      <c r="L110" s="214"/>
      <c r="N110" s="247">
        <f>'Form 2F.1 - Design'!Q134</f>
        <v>0</v>
      </c>
      <c r="O110" s="247"/>
      <c r="P110" s="247"/>
      <c r="Q110" s="247"/>
      <c r="S110" s="247">
        <f>'Form 2F.1 - Design'!U134</f>
        <v>0</v>
      </c>
      <c r="T110" s="247"/>
      <c r="U110" s="247"/>
      <c r="V110" s="247"/>
      <c r="X110" s="247">
        <f>'Form 2F.1 - Design'!Y134</f>
        <v>0</v>
      </c>
      <c r="Y110" s="247"/>
      <c r="Z110" s="247"/>
      <c r="AA110" s="247"/>
      <c r="AC110" s="247">
        <f>'Form 2F.1 - Design'!AC134</f>
        <v>0</v>
      </c>
      <c r="AD110" s="247"/>
      <c r="AE110" s="247"/>
      <c r="AF110" s="247"/>
      <c r="AH110" s="247">
        <f>'Form 2F.1 - Design'!AG134</f>
        <v>0</v>
      </c>
      <c r="AI110" s="247"/>
      <c r="AJ110" s="247"/>
      <c r="AK110" s="247"/>
      <c r="AM110" s="89">
        <f t="shared" ref="AM110:AM114" si="1">IF(AH110&gt;I110,1,0)</f>
        <v>0</v>
      </c>
      <c r="AN110" s="89">
        <f t="shared" ref="AN110:AN114" si="2">IF(OR($AR$110=0,$AR$112=2),0,IF($AH110&gt;$AR$110,1,0))</f>
        <v>0</v>
      </c>
      <c r="AO110" s="89">
        <f t="shared" ref="AO110:AO114" si="3">IF(OR($AR$111=0,$AR$112=2),0,IF($AH110&gt;$AR$111,1,0))</f>
        <v>0</v>
      </c>
      <c r="AP110" s="113">
        <f>IF(AP113="Yes",'Form 2F.1 - Design'!AM161,1)</f>
        <v>1</v>
      </c>
      <c r="AQ110" s="89" t="str">
        <f>'Form 2F.1 - Design'!AO161</f>
        <v>No</v>
      </c>
      <c r="AR110" s="95">
        <f>'Form 2F.1 - Design'!AN161</f>
        <v>0</v>
      </c>
      <c r="AS110" s="50" t="s">
        <v>301</v>
      </c>
      <c r="AX110" s="25"/>
      <c r="AY110" s="25"/>
      <c r="AZ110" s="25"/>
      <c r="BA110" s="25"/>
      <c r="BB110" s="25"/>
      <c r="BC110" s="25"/>
      <c r="BD110" s="25"/>
      <c r="BE110" s="25"/>
      <c r="BF110" s="25"/>
    </row>
    <row r="111" spans="1:58" ht="15" customHeight="1" x14ac:dyDescent="0.3">
      <c r="C111" s="193">
        <f>Tables!$F$18</f>
        <v>9.26</v>
      </c>
      <c r="D111" s="193"/>
      <c r="G111" s="2" t="str">
        <f>Tables!$D$18</f>
        <v>(10-yr)</v>
      </c>
      <c r="I111" s="214">
        <f>'Form 2F.1 - Design'!M135</f>
        <v>0</v>
      </c>
      <c r="J111" s="214"/>
      <c r="K111" s="214"/>
      <c r="L111" s="214"/>
      <c r="N111" s="247">
        <f>'Form 2F.1 - Design'!Q135</f>
        <v>0</v>
      </c>
      <c r="O111" s="247"/>
      <c r="P111" s="247"/>
      <c r="Q111" s="247"/>
      <c r="S111" s="247">
        <f>'Form 2F.1 - Design'!U135</f>
        <v>0</v>
      </c>
      <c r="T111" s="247"/>
      <c r="U111" s="247"/>
      <c r="V111" s="247"/>
      <c r="X111" s="247">
        <f>'Form 2F.1 - Design'!Y135</f>
        <v>0</v>
      </c>
      <c r="Y111" s="247"/>
      <c r="Z111" s="247"/>
      <c r="AA111" s="247"/>
      <c r="AC111" s="247">
        <f>'Form 2F.1 - Design'!AC135</f>
        <v>0</v>
      </c>
      <c r="AD111" s="247"/>
      <c r="AE111" s="247"/>
      <c r="AF111" s="247"/>
      <c r="AH111" s="247">
        <f>'Form 2F.1 - Design'!AG135</f>
        <v>0</v>
      </c>
      <c r="AI111" s="247"/>
      <c r="AJ111" s="247"/>
      <c r="AK111" s="247"/>
      <c r="AM111" s="89">
        <f t="shared" si="1"/>
        <v>0</v>
      </c>
      <c r="AN111" s="89">
        <f t="shared" si="2"/>
        <v>0</v>
      </c>
      <c r="AO111" s="89">
        <f t="shared" si="3"/>
        <v>0</v>
      </c>
      <c r="AP111" s="113">
        <f>IF(AP113="Yes",'Form 2F.1 - Design'!AM163,1)</f>
        <v>1</v>
      </c>
      <c r="AQ111" s="89" t="str">
        <f>'Form 2F.1 - Design'!AO163</f>
        <v>No</v>
      </c>
      <c r="AR111" s="95">
        <f>'Form 2F.1 - Design'!AN163</f>
        <v>0</v>
      </c>
      <c r="AS111" s="50" t="s">
        <v>329</v>
      </c>
      <c r="AU111" s="24"/>
      <c r="AX111" s="25"/>
      <c r="AY111" s="25"/>
      <c r="AZ111" s="25"/>
      <c r="BA111" s="25"/>
      <c r="BB111" s="25"/>
      <c r="BC111" s="25"/>
      <c r="BD111" s="25"/>
      <c r="BE111" s="25"/>
      <c r="BF111" s="25"/>
    </row>
    <row r="112" spans="1:58" ht="15" customHeight="1" x14ac:dyDescent="0.3">
      <c r="C112" s="193">
        <f>Tables!$F$19</f>
        <v>11.7</v>
      </c>
      <c r="D112" s="193"/>
      <c r="G112" s="2" t="str">
        <f>Tables!$D$19</f>
        <v>(25-yr)</v>
      </c>
      <c r="I112" s="214">
        <f>'Form 2F.1 - Design'!M136</f>
        <v>0</v>
      </c>
      <c r="J112" s="214"/>
      <c r="K112" s="214"/>
      <c r="L112" s="214"/>
      <c r="N112" s="247">
        <f>'Form 2F.1 - Design'!Q136</f>
        <v>0</v>
      </c>
      <c r="O112" s="247"/>
      <c r="P112" s="247"/>
      <c r="Q112" s="247"/>
      <c r="S112" s="247">
        <f>'Form 2F.1 - Design'!U136</f>
        <v>0</v>
      </c>
      <c r="T112" s="247"/>
      <c r="U112" s="247"/>
      <c r="V112" s="247"/>
      <c r="X112" s="247">
        <f>'Form 2F.1 - Design'!Y136</f>
        <v>0</v>
      </c>
      <c r="Y112" s="247"/>
      <c r="Z112" s="247"/>
      <c r="AA112" s="247"/>
      <c r="AC112" s="247">
        <f>'Form 2F.1 - Design'!AC136</f>
        <v>0</v>
      </c>
      <c r="AD112" s="247"/>
      <c r="AE112" s="247"/>
      <c r="AF112" s="247"/>
      <c r="AH112" s="247">
        <f>'Form 2F.1 - Design'!AG136</f>
        <v>0</v>
      </c>
      <c r="AI112" s="247"/>
      <c r="AJ112" s="247"/>
      <c r="AK112" s="247"/>
      <c r="AM112" s="89">
        <f t="shared" si="1"/>
        <v>0</v>
      </c>
      <c r="AN112" s="89">
        <f t="shared" si="2"/>
        <v>0</v>
      </c>
      <c r="AO112" s="89">
        <f t="shared" si="3"/>
        <v>0</v>
      </c>
      <c r="AP112" s="120">
        <f>'Form 2F.1 - Design'!AN161</f>
        <v>0</v>
      </c>
      <c r="AR112" s="89">
        <f>'Form 2F.1 - Design'!AN179</f>
        <v>1</v>
      </c>
      <c r="AS112" s="10" t="s">
        <v>469</v>
      </c>
      <c r="AU112" s="24"/>
      <c r="AY112" s="25"/>
      <c r="AZ112" s="25"/>
      <c r="BA112" s="25"/>
      <c r="BB112" s="25"/>
      <c r="BC112" s="25"/>
      <c r="BD112" s="25"/>
      <c r="BE112" s="25"/>
      <c r="BF112" s="25"/>
    </row>
    <row r="113" spans="2:58" ht="15" customHeight="1" x14ac:dyDescent="0.3">
      <c r="C113" s="193">
        <f>Tables!$F$20</f>
        <v>13.9</v>
      </c>
      <c r="D113" s="193"/>
      <c r="G113" s="2" t="str">
        <f>Tables!$D$20</f>
        <v>(50-yr)</v>
      </c>
      <c r="I113" s="214">
        <f>'Form 2F.1 - Design'!M137</f>
        <v>0</v>
      </c>
      <c r="J113" s="214"/>
      <c r="K113" s="214"/>
      <c r="L113" s="214"/>
      <c r="N113" s="247">
        <f>'Form 2F.1 - Design'!Q137</f>
        <v>0</v>
      </c>
      <c r="O113" s="247"/>
      <c r="P113" s="247"/>
      <c r="Q113" s="247"/>
      <c r="S113" s="247">
        <f>'Form 2F.1 - Design'!U137</f>
        <v>0</v>
      </c>
      <c r="T113" s="247"/>
      <c r="U113" s="247"/>
      <c r="V113" s="247"/>
      <c r="X113" s="247">
        <f>'Form 2F.1 - Design'!Y137</f>
        <v>0</v>
      </c>
      <c r="Y113" s="247"/>
      <c r="Z113" s="247"/>
      <c r="AA113" s="247"/>
      <c r="AC113" s="247">
        <f>'Form 2F.1 - Design'!AC137</f>
        <v>0</v>
      </c>
      <c r="AD113" s="247"/>
      <c r="AE113" s="247"/>
      <c r="AF113" s="247"/>
      <c r="AH113" s="247">
        <f>'Form 2F.1 - Design'!AG137</f>
        <v>0</v>
      </c>
      <c r="AI113" s="247"/>
      <c r="AJ113" s="247"/>
      <c r="AK113" s="247"/>
      <c r="AM113" s="89">
        <f t="shared" si="1"/>
        <v>0</v>
      </c>
      <c r="AN113" s="89">
        <f t="shared" si="2"/>
        <v>0</v>
      </c>
      <c r="AO113" s="89">
        <f t="shared" si="3"/>
        <v>0</v>
      </c>
      <c r="AP113" s="113" t="str">
        <f>'Form 2F.1 - Design'!AO161</f>
        <v>No</v>
      </c>
      <c r="AU113" s="24"/>
      <c r="AY113" s="25"/>
      <c r="AZ113" s="25"/>
      <c r="BA113" s="25"/>
      <c r="BB113" s="25"/>
      <c r="BC113" s="25"/>
      <c r="BD113" s="25"/>
      <c r="BE113" s="25"/>
      <c r="BF113" s="25"/>
    </row>
    <row r="114" spans="2:58" ht="15" customHeight="1" x14ac:dyDescent="0.3">
      <c r="C114" s="193">
        <f>Tables!$F$21</f>
        <v>16.3</v>
      </c>
      <c r="D114" s="193"/>
      <c r="G114" s="2" t="str">
        <f>Tables!$D$21</f>
        <v>(100-yr)</v>
      </c>
      <c r="I114" s="214">
        <f>'Form 2F.1 - Design'!M138</f>
        <v>0</v>
      </c>
      <c r="J114" s="214"/>
      <c r="K114" s="214"/>
      <c r="L114" s="214"/>
      <c r="N114" s="247">
        <f>'Form 2F.1 - Design'!Q138</f>
        <v>0</v>
      </c>
      <c r="O114" s="247"/>
      <c r="P114" s="247"/>
      <c r="Q114" s="247"/>
      <c r="S114" s="247">
        <f>'Form 2F.1 - Design'!U138</f>
        <v>0</v>
      </c>
      <c r="T114" s="247"/>
      <c r="U114" s="247"/>
      <c r="V114" s="247"/>
      <c r="X114" s="247">
        <f>'Form 2F.1 - Design'!Y138</f>
        <v>0</v>
      </c>
      <c r="Y114" s="247"/>
      <c r="Z114" s="247"/>
      <c r="AA114" s="247"/>
      <c r="AC114" s="247">
        <f>'Form 2F.1 - Design'!AC138</f>
        <v>0</v>
      </c>
      <c r="AD114" s="247"/>
      <c r="AE114" s="247"/>
      <c r="AF114" s="247"/>
      <c r="AH114" s="247">
        <f>'Form 2F.1 - Design'!AG138</f>
        <v>0</v>
      </c>
      <c r="AI114" s="247"/>
      <c r="AJ114" s="247"/>
      <c r="AK114" s="247"/>
      <c r="AM114" s="89">
        <f t="shared" si="1"/>
        <v>0</v>
      </c>
      <c r="AN114" s="89">
        <f t="shared" si="2"/>
        <v>0</v>
      </c>
      <c r="AO114" s="89">
        <f t="shared" si="3"/>
        <v>0</v>
      </c>
      <c r="AU114" s="24"/>
      <c r="AY114" s="25"/>
      <c r="AZ114" s="25"/>
      <c r="BA114" s="25"/>
      <c r="BB114" s="25"/>
      <c r="BC114" s="25"/>
      <c r="BD114" s="25"/>
      <c r="BE114" s="25"/>
      <c r="BF114" s="25"/>
    </row>
    <row r="115" spans="2:58" ht="30" customHeight="1" x14ac:dyDescent="0.3">
      <c r="B115" s="1" t="s">
        <v>57</v>
      </c>
      <c r="I115" s="241" t="s">
        <v>125</v>
      </c>
      <c r="J115" s="241"/>
      <c r="K115" s="241"/>
      <c r="L115" s="241"/>
      <c r="M115" s="36"/>
      <c r="N115" s="241" t="s">
        <v>210</v>
      </c>
      <c r="O115" s="241"/>
      <c r="P115" s="241"/>
      <c r="Q115" s="241"/>
      <c r="S115" s="241" t="s">
        <v>211</v>
      </c>
      <c r="T115" s="241"/>
      <c r="U115" s="241"/>
      <c r="V115" s="241"/>
      <c r="X115" s="241" t="s">
        <v>272</v>
      </c>
      <c r="Y115" s="241"/>
      <c r="Z115" s="241"/>
      <c r="AA115" s="241"/>
      <c r="AC115" s="241" t="s">
        <v>247</v>
      </c>
      <c r="AD115" s="241"/>
      <c r="AE115" s="241"/>
      <c r="AF115" s="241"/>
      <c r="AH115" s="241" t="s">
        <v>126</v>
      </c>
      <c r="AI115" s="241"/>
      <c r="AJ115" s="241"/>
      <c r="AK115" s="241"/>
      <c r="AM115" s="89">
        <f>SUM(AM116:AM121)</f>
        <v>6</v>
      </c>
      <c r="AN115" s="89">
        <f>SUM(AN116:AN121)</f>
        <v>6</v>
      </c>
      <c r="AO115" s="89">
        <f>SUM(AO116:AO120)</f>
        <v>5</v>
      </c>
      <c r="AP115" s="89">
        <f>SUM(AP116:AP121)</f>
        <v>6</v>
      </c>
      <c r="AQ115" s="89">
        <f t="shared" ref="AQ115:AR115" si="4">SUM(AQ116:AQ121)</f>
        <v>0</v>
      </c>
      <c r="AR115" s="89">
        <f t="shared" si="4"/>
        <v>0</v>
      </c>
      <c r="AS115" s="89">
        <f>SUM(AS116:AS121)</f>
        <v>6</v>
      </c>
      <c r="AU115" s="24"/>
      <c r="AY115" s="25"/>
      <c r="AZ115" s="25"/>
      <c r="BA115" s="25"/>
      <c r="BB115" s="25"/>
      <c r="BC115" s="25"/>
      <c r="BD115" s="25"/>
      <c r="BE115" s="25"/>
      <c r="BF115" s="25"/>
    </row>
    <row r="116" spans="2:58" ht="15" customHeight="1" x14ac:dyDescent="0.3">
      <c r="C116" s="193">
        <f>Tables!$F$16</f>
        <v>6.02</v>
      </c>
      <c r="D116" s="193"/>
      <c r="G116" s="2" t="str">
        <f>Tables!$D$16</f>
        <v>(2-yr)</v>
      </c>
      <c r="I116" s="180"/>
      <c r="J116" s="180"/>
      <c r="K116" s="180"/>
      <c r="L116" s="180"/>
      <c r="N116" s="180"/>
      <c r="O116" s="180"/>
      <c r="P116" s="180"/>
      <c r="Q116" s="180"/>
      <c r="S116" s="180"/>
      <c r="T116" s="180"/>
      <c r="U116" s="180"/>
      <c r="V116" s="180"/>
      <c r="X116" s="180"/>
      <c r="Y116" s="180"/>
      <c r="Z116" s="180"/>
      <c r="AA116" s="180"/>
      <c r="AC116" s="180"/>
      <c r="AD116" s="180"/>
      <c r="AE116" s="180"/>
      <c r="AF116" s="180"/>
      <c r="AH116" s="180"/>
      <c r="AI116" s="180"/>
      <c r="AJ116" s="180"/>
      <c r="AK116" s="180"/>
      <c r="AM116" s="89">
        <f>IF(ISBLANK(I116),1,IF(I116=I109,0,1))</f>
        <v>1</v>
      </c>
      <c r="AN116" s="89">
        <f t="shared" ref="AN116:AN120" si="5">IF(ISBLANK(N116),1,IF(N116=N109,0,1))</f>
        <v>1</v>
      </c>
      <c r="AO116" s="89">
        <f>IF(OR(ISBLANK(X116),ISBLANK(Y$62)),1,IF(X116&gt;Y$62,1,0))</f>
        <v>1</v>
      </c>
      <c r="AP116" s="89">
        <f t="shared" ref="AP116:AP121" si="6">IF(ISBLANK(AC116),1,IF(AC116&gt;$AQ$108,1,0))</f>
        <v>1</v>
      </c>
      <c r="AQ116" s="89">
        <f>IF(OR($AR$110=0,$AR$112=2),0,IF($AH116&gt;$AR$110,1,0))</f>
        <v>0</v>
      </c>
      <c r="AR116" s="89">
        <f>IF(OR($AR$111=0,$AR$112=2),0,IF($AH116&gt;$AR$111,1,0))</f>
        <v>0</v>
      </c>
      <c r="AS116" s="89">
        <f>IF(OR(ISBLANK(AH116),ISBLANK(I116)),1,IF(AH116&gt;I116,1,0))</f>
        <v>1</v>
      </c>
      <c r="AU116" s="24"/>
      <c r="AY116" s="25"/>
      <c r="AZ116" s="25"/>
      <c r="BA116" s="25"/>
      <c r="BB116" s="25"/>
      <c r="BC116" s="25"/>
      <c r="BD116" s="25"/>
      <c r="BE116" s="25"/>
      <c r="BF116" s="25"/>
    </row>
    <row r="117" spans="2:58" ht="15" customHeight="1" x14ac:dyDescent="0.3">
      <c r="C117" s="193">
        <f>Tables!$F$17</f>
        <v>7.68</v>
      </c>
      <c r="D117" s="193"/>
      <c r="G117" s="2" t="str">
        <f>Tables!$D$17</f>
        <v>(5-yr)</v>
      </c>
      <c r="I117" s="182"/>
      <c r="J117" s="182"/>
      <c r="K117" s="182"/>
      <c r="L117" s="182"/>
      <c r="N117" s="182"/>
      <c r="O117" s="182"/>
      <c r="P117" s="182"/>
      <c r="Q117" s="182"/>
      <c r="S117" s="182"/>
      <c r="T117" s="182"/>
      <c r="U117" s="182"/>
      <c r="V117" s="182"/>
      <c r="X117" s="182"/>
      <c r="Y117" s="182"/>
      <c r="Z117" s="182"/>
      <c r="AA117" s="182"/>
      <c r="AC117" s="182"/>
      <c r="AD117" s="182"/>
      <c r="AE117" s="182"/>
      <c r="AF117" s="182"/>
      <c r="AH117" s="182"/>
      <c r="AI117" s="182"/>
      <c r="AJ117" s="182"/>
      <c r="AK117" s="182"/>
      <c r="AM117" s="89">
        <f t="shared" ref="AM117:AM121" si="7">IF(ISBLANK(I117),1,IF(I117=I110,0,1))</f>
        <v>1</v>
      </c>
      <c r="AN117" s="89">
        <f t="shared" si="5"/>
        <v>1</v>
      </c>
      <c r="AO117" s="89">
        <f t="shared" ref="AO117:AO120" si="8">IF(OR(ISBLANK(X117),ISBLANK(Y$62)),1,IF(X117&gt;Y$62,1,0))</f>
        <v>1</v>
      </c>
      <c r="AP117" s="89">
        <f t="shared" si="6"/>
        <v>1</v>
      </c>
      <c r="AQ117" s="89">
        <f t="shared" ref="AQ117:AQ121" si="9">IF(OR($AR$110=0,$AR$112=2),0,IF($AH117&gt;$AR$110,1,0))</f>
        <v>0</v>
      </c>
      <c r="AR117" s="89">
        <f t="shared" ref="AR117:AR121" si="10">IF(OR($AR$111=0,$AR$112=2),0,IF($AH117&gt;$AR$111,1,0))</f>
        <v>0</v>
      </c>
      <c r="AS117" s="89">
        <f>IF(OR(ISBLANK(AH117),ISBLANK(I117)),1,IF(AH117&gt;I117,1,0))</f>
        <v>1</v>
      </c>
      <c r="AY117" s="25"/>
      <c r="AZ117" s="25"/>
      <c r="BA117" s="25"/>
      <c r="BB117" s="25"/>
      <c r="BC117" s="25"/>
      <c r="BD117" s="25"/>
      <c r="BE117" s="25"/>
      <c r="BF117" s="25"/>
    </row>
    <row r="118" spans="2:58" ht="15" customHeight="1" x14ac:dyDescent="0.3">
      <c r="C118" s="193">
        <f>Tables!$F$18</f>
        <v>9.26</v>
      </c>
      <c r="D118" s="193"/>
      <c r="G118" s="2" t="str">
        <f>Tables!$D$18</f>
        <v>(10-yr)</v>
      </c>
      <c r="I118" s="182"/>
      <c r="J118" s="182"/>
      <c r="K118" s="182"/>
      <c r="L118" s="182"/>
      <c r="N118" s="182"/>
      <c r="O118" s="182"/>
      <c r="P118" s="182"/>
      <c r="Q118" s="182"/>
      <c r="S118" s="182"/>
      <c r="T118" s="182"/>
      <c r="U118" s="182"/>
      <c r="V118" s="182"/>
      <c r="X118" s="182"/>
      <c r="Y118" s="182"/>
      <c r="Z118" s="182"/>
      <c r="AA118" s="182"/>
      <c r="AC118" s="182"/>
      <c r="AD118" s="182"/>
      <c r="AE118" s="182"/>
      <c r="AF118" s="182"/>
      <c r="AH118" s="182"/>
      <c r="AI118" s="182"/>
      <c r="AJ118" s="182"/>
      <c r="AK118" s="182"/>
      <c r="AM118" s="89">
        <f t="shared" si="7"/>
        <v>1</v>
      </c>
      <c r="AN118" s="89">
        <f t="shared" si="5"/>
        <v>1</v>
      </c>
      <c r="AO118" s="89">
        <f t="shared" si="8"/>
        <v>1</v>
      </c>
      <c r="AP118" s="89">
        <f t="shared" si="6"/>
        <v>1</v>
      </c>
      <c r="AQ118" s="89">
        <f t="shared" si="9"/>
        <v>0</v>
      </c>
      <c r="AR118" s="89">
        <f t="shared" si="10"/>
        <v>0</v>
      </c>
      <c r="AS118" s="89">
        <f t="shared" ref="AS118:AS121" si="11">IF(OR(ISBLANK(AH118),ISBLANK(I118)),1,IF(AH118&gt;I118,1,0))</f>
        <v>1</v>
      </c>
      <c r="AU118" s="26"/>
      <c r="AY118" s="25"/>
      <c r="AZ118" s="25"/>
      <c r="BA118" s="25"/>
      <c r="BB118" s="25"/>
      <c r="BC118" s="25"/>
      <c r="BD118" s="25"/>
      <c r="BE118" s="25"/>
      <c r="BF118" s="25"/>
    </row>
    <row r="119" spans="2:58" ht="15" customHeight="1" x14ac:dyDescent="0.3">
      <c r="C119" s="193">
        <f>Tables!$F$19</f>
        <v>11.7</v>
      </c>
      <c r="D119" s="193"/>
      <c r="G119" s="2" t="str">
        <f>Tables!$D$19</f>
        <v>(25-yr)</v>
      </c>
      <c r="I119" s="182"/>
      <c r="J119" s="182"/>
      <c r="K119" s="182"/>
      <c r="L119" s="182"/>
      <c r="N119" s="182"/>
      <c r="O119" s="182"/>
      <c r="P119" s="182"/>
      <c r="Q119" s="182"/>
      <c r="S119" s="182"/>
      <c r="T119" s="182"/>
      <c r="U119" s="182"/>
      <c r="V119" s="182"/>
      <c r="X119" s="182"/>
      <c r="Y119" s="182"/>
      <c r="Z119" s="182"/>
      <c r="AA119" s="182"/>
      <c r="AC119" s="182"/>
      <c r="AD119" s="182"/>
      <c r="AE119" s="182"/>
      <c r="AF119" s="182"/>
      <c r="AH119" s="182"/>
      <c r="AI119" s="182"/>
      <c r="AJ119" s="182"/>
      <c r="AK119" s="182"/>
      <c r="AM119" s="89">
        <f t="shared" si="7"/>
        <v>1</v>
      </c>
      <c r="AN119" s="89">
        <f t="shared" si="5"/>
        <v>1</v>
      </c>
      <c r="AO119" s="89">
        <f t="shared" si="8"/>
        <v>1</v>
      </c>
      <c r="AP119" s="89">
        <f t="shared" si="6"/>
        <v>1</v>
      </c>
      <c r="AQ119" s="89">
        <f t="shared" si="9"/>
        <v>0</v>
      </c>
      <c r="AR119" s="89">
        <f t="shared" si="10"/>
        <v>0</v>
      </c>
      <c r="AS119" s="89">
        <f t="shared" si="11"/>
        <v>1</v>
      </c>
      <c r="AU119" s="26"/>
      <c r="AY119" s="25"/>
      <c r="AZ119" s="25"/>
      <c r="BA119" s="25"/>
      <c r="BB119" s="25"/>
      <c r="BC119" s="25"/>
      <c r="BD119" s="25"/>
      <c r="BE119" s="25"/>
      <c r="BF119" s="25"/>
    </row>
    <row r="120" spans="2:58" ht="15" customHeight="1" x14ac:dyDescent="0.3">
      <c r="C120" s="193">
        <f>Tables!$F$20</f>
        <v>13.9</v>
      </c>
      <c r="D120" s="193"/>
      <c r="G120" s="2" t="str">
        <f>Tables!$D$20</f>
        <v>(50-yr)</v>
      </c>
      <c r="I120" s="182"/>
      <c r="J120" s="182"/>
      <c r="K120" s="182"/>
      <c r="L120" s="182"/>
      <c r="N120" s="182"/>
      <c r="O120" s="182"/>
      <c r="P120" s="182"/>
      <c r="Q120" s="182"/>
      <c r="S120" s="182"/>
      <c r="T120" s="182"/>
      <c r="U120" s="182"/>
      <c r="V120" s="182"/>
      <c r="X120" s="182"/>
      <c r="Y120" s="182"/>
      <c r="Z120" s="182"/>
      <c r="AA120" s="182"/>
      <c r="AC120" s="182"/>
      <c r="AD120" s="182"/>
      <c r="AE120" s="182"/>
      <c r="AF120" s="182"/>
      <c r="AH120" s="182"/>
      <c r="AI120" s="182"/>
      <c r="AJ120" s="182"/>
      <c r="AK120" s="182"/>
      <c r="AM120" s="89">
        <f t="shared" si="7"/>
        <v>1</v>
      </c>
      <c r="AN120" s="89">
        <f t="shared" si="5"/>
        <v>1</v>
      </c>
      <c r="AO120" s="89">
        <f t="shared" si="8"/>
        <v>1</v>
      </c>
      <c r="AP120" s="89">
        <f t="shared" si="6"/>
        <v>1</v>
      </c>
      <c r="AQ120" s="89">
        <f t="shared" si="9"/>
        <v>0</v>
      </c>
      <c r="AR120" s="89">
        <f t="shared" si="10"/>
        <v>0</v>
      </c>
      <c r="AS120" s="89">
        <f t="shared" si="11"/>
        <v>1</v>
      </c>
      <c r="AY120" s="25"/>
      <c r="AZ120" s="25"/>
      <c r="BA120" s="25"/>
      <c r="BB120" s="25"/>
      <c r="BC120" s="25"/>
      <c r="BD120" s="25"/>
      <c r="BE120" s="25"/>
      <c r="BF120" s="25"/>
    </row>
    <row r="121" spans="2:58" ht="15" customHeight="1" x14ac:dyDescent="0.3">
      <c r="C121" s="193">
        <f>Tables!$F$21</f>
        <v>16.3</v>
      </c>
      <c r="D121" s="193"/>
      <c r="G121" s="2" t="str">
        <f>Tables!$D$21</f>
        <v>(100-yr)</v>
      </c>
      <c r="I121" s="182"/>
      <c r="J121" s="182"/>
      <c r="K121" s="182"/>
      <c r="L121" s="182"/>
      <c r="N121" s="182"/>
      <c r="O121" s="182"/>
      <c r="P121" s="182"/>
      <c r="Q121" s="182"/>
      <c r="S121" s="182"/>
      <c r="T121" s="182"/>
      <c r="U121" s="182"/>
      <c r="V121" s="182"/>
      <c r="X121" s="182"/>
      <c r="Y121" s="182"/>
      <c r="Z121" s="182"/>
      <c r="AA121" s="182"/>
      <c r="AC121" s="182"/>
      <c r="AD121" s="182"/>
      <c r="AE121" s="182"/>
      <c r="AF121" s="182"/>
      <c r="AH121" s="182"/>
      <c r="AI121" s="182"/>
      <c r="AJ121" s="182"/>
      <c r="AK121" s="182"/>
      <c r="AM121" s="89">
        <f t="shared" si="7"/>
        <v>1</v>
      </c>
      <c r="AN121" s="89">
        <f>IF(ISBLANK(N121),1,IF(N121=N114,0,1))</f>
        <v>1</v>
      </c>
      <c r="AO121" s="95">
        <f>AH62-X121</f>
        <v>0</v>
      </c>
      <c r="AP121" s="89">
        <f t="shared" si="6"/>
        <v>1</v>
      </c>
      <c r="AQ121" s="89">
        <f t="shared" si="9"/>
        <v>0</v>
      </c>
      <c r="AR121" s="89">
        <f t="shared" si="10"/>
        <v>0</v>
      </c>
      <c r="AS121" s="89">
        <f t="shared" si="11"/>
        <v>1</v>
      </c>
      <c r="AY121" s="25"/>
      <c r="AZ121" s="25"/>
      <c r="BA121" s="25"/>
      <c r="BB121" s="25"/>
      <c r="BC121" s="25"/>
      <c r="BD121" s="25"/>
      <c r="BE121" s="25"/>
      <c r="BF121" s="25"/>
    </row>
    <row r="122" spans="2:58" ht="4.95" customHeight="1" x14ac:dyDescent="0.3">
      <c r="AM122" s="90"/>
      <c r="AN122" s="90"/>
      <c r="AO122" s="90"/>
      <c r="AP122" s="90"/>
      <c r="AS122" s="90"/>
      <c r="AY122" s="25"/>
      <c r="AZ122" s="25"/>
      <c r="BA122" s="25"/>
      <c r="BB122" s="25"/>
      <c r="BC122" s="25"/>
      <c r="BD122" s="25"/>
      <c r="BE122" s="25"/>
      <c r="BF122" s="25"/>
    </row>
    <row r="123" spans="2:58" ht="15" customHeight="1" x14ac:dyDescent="0.3">
      <c r="B123" s="5" t="s">
        <v>22</v>
      </c>
      <c r="C123" s="5"/>
      <c r="D123" s="5"/>
      <c r="E123" s="5"/>
      <c r="F123" s="5"/>
      <c r="G123" s="5"/>
      <c r="AM123" s="20" t="s">
        <v>148</v>
      </c>
      <c r="AN123" s="20" t="s">
        <v>149</v>
      </c>
      <c r="AO123" s="20" t="s">
        <v>74</v>
      </c>
      <c r="AP123" s="20" t="s">
        <v>260</v>
      </c>
      <c r="AQ123" s="20" t="s">
        <v>301</v>
      </c>
      <c r="AR123" s="20" t="s">
        <v>362</v>
      </c>
      <c r="AS123" s="20" t="s">
        <v>75</v>
      </c>
      <c r="AY123" s="25"/>
      <c r="AZ123" s="25"/>
      <c r="BA123" s="25"/>
      <c r="BB123" s="25"/>
      <c r="BC123" s="25"/>
      <c r="BD123" s="25"/>
      <c r="BE123" s="25"/>
      <c r="BF123" s="25"/>
    </row>
    <row r="124" spans="2:58" ht="15" customHeight="1" x14ac:dyDescent="0.3">
      <c r="B124" s="199"/>
      <c r="C124" s="200"/>
      <c r="D124" s="200"/>
      <c r="E124" s="200"/>
      <c r="F124" s="200"/>
      <c r="G124" s="200"/>
      <c r="H124" s="200"/>
      <c r="I124" s="200"/>
      <c r="J124" s="200"/>
      <c r="K124" s="200"/>
      <c r="L124" s="200"/>
      <c r="M124" s="200"/>
      <c r="N124" s="200"/>
      <c r="O124" s="200"/>
      <c r="P124" s="200"/>
      <c r="Q124" s="200"/>
      <c r="R124" s="200"/>
      <c r="S124" s="200"/>
      <c r="T124" s="200"/>
      <c r="U124" s="200"/>
      <c r="V124" s="200"/>
      <c r="W124" s="200"/>
      <c r="X124" s="200"/>
      <c r="Y124" s="200"/>
      <c r="Z124" s="200"/>
      <c r="AA124" s="200"/>
      <c r="AB124" s="200"/>
      <c r="AC124" s="200"/>
      <c r="AD124" s="200"/>
      <c r="AE124" s="200"/>
      <c r="AF124" s="200"/>
      <c r="AG124" s="200"/>
      <c r="AH124" s="200"/>
      <c r="AI124" s="200"/>
      <c r="AJ124" s="200"/>
      <c r="AK124" s="201"/>
      <c r="AY124" s="25"/>
      <c r="AZ124" s="25"/>
      <c r="BA124" s="25"/>
      <c r="BB124" s="25"/>
      <c r="BC124" s="25"/>
      <c r="BD124" s="25"/>
      <c r="BE124" s="25"/>
      <c r="BF124" s="25"/>
    </row>
    <row r="125" spans="2:58" ht="15" customHeight="1" x14ac:dyDescent="0.3">
      <c r="B125" s="202"/>
      <c r="C125" s="203"/>
      <c r="D125" s="203"/>
      <c r="E125" s="203"/>
      <c r="F125" s="203"/>
      <c r="G125" s="203"/>
      <c r="H125" s="203"/>
      <c r="I125" s="203"/>
      <c r="J125" s="203"/>
      <c r="K125" s="203"/>
      <c r="L125" s="203"/>
      <c r="M125" s="203"/>
      <c r="N125" s="203"/>
      <c r="O125" s="203"/>
      <c r="P125" s="203"/>
      <c r="Q125" s="203"/>
      <c r="R125" s="203"/>
      <c r="S125" s="203"/>
      <c r="T125" s="203"/>
      <c r="U125" s="203"/>
      <c r="V125" s="203"/>
      <c r="W125" s="203"/>
      <c r="X125" s="203"/>
      <c r="Y125" s="203"/>
      <c r="Z125" s="203"/>
      <c r="AA125" s="203"/>
      <c r="AB125" s="203"/>
      <c r="AC125" s="203"/>
      <c r="AD125" s="203"/>
      <c r="AE125" s="203"/>
      <c r="AF125" s="203"/>
      <c r="AG125" s="203"/>
      <c r="AH125" s="203"/>
      <c r="AI125" s="203"/>
      <c r="AJ125" s="203"/>
      <c r="AK125" s="204"/>
      <c r="AU125" s="26"/>
      <c r="AY125" s="25"/>
      <c r="AZ125" s="25"/>
      <c r="BA125" s="25"/>
      <c r="BB125" s="25"/>
      <c r="BC125" s="25"/>
      <c r="BD125" s="25"/>
      <c r="BE125" s="25"/>
      <c r="BF125" s="25"/>
    </row>
    <row r="126" spans="2:58" ht="15" customHeight="1" x14ac:dyDescent="0.3">
      <c r="B126" s="202"/>
      <c r="C126" s="203"/>
      <c r="D126" s="203"/>
      <c r="E126" s="203"/>
      <c r="F126" s="203"/>
      <c r="G126" s="203"/>
      <c r="H126" s="203"/>
      <c r="I126" s="203"/>
      <c r="J126" s="203"/>
      <c r="K126" s="203"/>
      <c r="L126" s="203"/>
      <c r="M126" s="203"/>
      <c r="N126" s="203"/>
      <c r="O126" s="203"/>
      <c r="P126" s="203"/>
      <c r="Q126" s="203"/>
      <c r="R126" s="203"/>
      <c r="S126" s="203"/>
      <c r="T126" s="203"/>
      <c r="U126" s="203"/>
      <c r="V126" s="203"/>
      <c r="W126" s="203"/>
      <c r="X126" s="203"/>
      <c r="Y126" s="203"/>
      <c r="Z126" s="203"/>
      <c r="AA126" s="203"/>
      <c r="AB126" s="203"/>
      <c r="AC126" s="203"/>
      <c r="AD126" s="203"/>
      <c r="AE126" s="203"/>
      <c r="AF126" s="203"/>
      <c r="AG126" s="203"/>
      <c r="AH126" s="203"/>
      <c r="AI126" s="203"/>
      <c r="AJ126" s="203"/>
      <c r="AK126" s="204"/>
      <c r="AU126" s="24"/>
      <c r="AY126" s="25"/>
      <c r="AZ126" s="25"/>
      <c r="BA126" s="25"/>
      <c r="BB126" s="25"/>
      <c r="BC126" s="25"/>
      <c r="BD126" s="25"/>
      <c r="BE126" s="25"/>
      <c r="BF126" s="25"/>
    </row>
    <row r="127" spans="2:58" ht="15" customHeight="1" x14ac:dyDescent="0.3">
      <c r="B127" s="202"/>
      <c r="C127" s="203"/>
      <c r="D127" s="203"/>
      <c r="E127" s="203"/>
      <c r="F127" s="203"/>
      <c r="G127" s="203"/>
      <c r="H127" s="203"/>
      <c r="I127" s="203"/>
      <c r="J127" s="203"/>
      <c r="K127" s="203"/>
      <c r="L127" s="203"/>
      <c r="M127" s="203"/>
      <c r="N127" s="203"/>
      <c r="O127" s="203"/>
      <c r="P127" s="203"/>
      <c r="Q127" s="203"/>
      <c r="R127" s="203"/>
      <c r="S127" s="203"/>
      <c r="T127" s="203"/>
      <c r="U127" s="203"/>
      <c r="V127" s="203"/>
      <c r="W127" s="203"/>
      <c r="X127" s="203"/>
      <c r="Y127" s="203"/>
      <c r="Z127" s="203"/>
      <c r="AA127" s="203"/>
      <c r="AB127" s="203"/>
      <c r="AC127" s="203"/>
      <c r="AD127" s="203"/>
      <c r="AE127" s="203"/>
      <c r="AF127" s="203"/>
      <c r="AG127" s="203"/>
      <c r="AH127" s="203"/>
      <c r="AI127" s="203"/>
      <c r="AJ127" s="203"/>
      <c r="AK127" s="204"/>
      <c r="AY127" s="25"/>
      <c r="AZ127" s="25"/>
      <c r="BA127" s="25"/>
      <c r="BB127" s="25"/>
      <c r="BC127" s="25"/>
      <c r="BD127" s="25"/>
      <c r="BE127" s="25"/>
      <c r="BF127" s="25"/>
    </row>
    <row r="128" spans="2:58" ht="15" customHeight="1" x14ac:dyDescent="0.3">
      <c r="B128" s="202"/>
      <c r="C128" s="203"/>
      <c r="D128" s="203"/>
      <c r="E128" s="203"/>
      <c r="F128" s="203"/>
      <c r="G128" s="203"/>
      <c r="H128" s="203"/>
      <c r="I128" s="203"/>
      <c r="J128" s="203"/>
      <c r="K128" s="203"/>
      <c r="L128" s="203"/>
      <c r="M128" s="203"/>
      <c r="N128" s="203"/>
      <c r="O128" s="203"/>
      <c r="P128" s="203"/>
      <c r="Q128" s="203"/>
      <c r="R128" s="203"/>
      <c r="S128" s="203"/>
      <c r="T128" s="203"/>
      <c r="U128" s="203"/>
      <c r="V128" s="203"/>
      <c r="W128" s="203"/>
      <c r="X128" s="203"/>
      <c r="Y128" s="203"/>
      <c r="Z128" s="203"/>
      <c r="AA128" s="203"/>
      <c r="AB128" s="203"/>
      <c r="AC128" s="203"/>
      <c r="AD128" s="203"/>
      <c r="AE128" s="203"/>
      <c r="AF128" s="203"/>
      <c r="AG128" s="203"/>
      <c r="AH128" s="203"/>
      <c r="AI128" s="203"/>
      <c r="AJ128" s="203"/>
      <c r="AK128" s="204"/>
      <c r="AY128" s="25"/>
      <c r="AZ128" s="25"/>
      <c r="BA128" s="25"/>
      <c r="BB128" s="25"/>
      <c r="BC128" s="25"/>
      <c r="BD128" s="25"/>
      <c r="BE128" s="25"/>
      <c r="BF128" s="25"/>
    </row>
    <row r="129" spans="2:58" ht="15" customHeight="1" x14ac:dyDescent="0.3">
      <c r="B129" s="205"/>
      <c r="C129" s="206"/>
      <c r="D129" s="206"/>
      <c r="E129" s="206"/>
      <c r="F129" s="206"/>
      <c r="G129" s="206"/>
      <c r="H129" s="206"/>
      <c r="I129" s="206"/>
      <c r="J129" s="206"/>
      <c r="K129" s="206"/>
      <c r="L129" s="206"/>
      <c r="M129" s="206"/>
      <c r="N129" s="206"/>
      <c r="O129" s="206"/>
      <c r="P129" s="206"/>
      <c r="Q129" s="206"/>
      <c r="R129" s="206"/>
      <c r="S129" s="206"/>
      <c r="T129" s="206"/>
      <c r="U129" s="206"/>
      <c r="V129" s="206"/>
      <c r="W129" s="206"/>
      <c r="X129" s="206"/>
      <c r="Y129" s="206"/>
      <c r="Z129" s="206"/>
      <c r="AA129" s="206"/>
      <c r="AB129" s="206"/>
      <c r="AC129" s="206"/>
      <c r="AD129" s="206"/>
      <c r="AE129" s="206"/>
      <c r="AF129" s="206"/>
      <c r="AG129" s="206"/>
      <c r="AH129" s="206"/>
      <c r="AI129" s="206"/>
      <c r="AJ129" s="206"/>
      <c r="AK129" s="207"/>
      <c r="AY129" s="25"/>
      <c r="AZ129" s="25"/>
      <c r="BA129" s="25"/>
      <c r="BB129" s="25"/>
      <c r="BC129" s="25"/>
      <c r="BD129" s="25"/>
      <c r="BE129" s="25"/>
      <c r="BF129" s="25"/>
    </row>
    <row r="130" spans="2:58" ht="4.95" customHeight="1" x14ac:dyDescent="0.3">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row>
    <row r="131" spans="2:58" ht="15" customHeight="1" x14ac:dyDescent="0.3">
      <c r="B131" s="1" t="s">
        <v>130</v>
      </c>
      <c r="C131" s="1"/>
      <c r="D131" s="1"/>
      <c r="E131" s="1"/>
      <c r="F131" s="1"/>
      <c r="G131" s="1"/>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row>
    <row r="132" spans="2:58" ht="15" customHeight="1" x14ac:dyDescent="0.3">
      <c r="C132" s="2"/>
      <c r="E132" s="2" t="s">
        <v>132</v>
      </c>
      <c r="F132" s="179"/>
      <c r="G132" s="179"/>
      <c r="H132" s="179"/>
      <c r="I132" s="179"/>
      <c r="J132" s="179"/>
      <c r="K132" s="179"/>
      <c r="L132" s="179"/>
      <c r="M132" s="179"/>
      <c r="N132" s="179"/>
      <c r="O132" s="179"/>
      <c r="P132" s="179"/>
      <c r="Q132" s="179"/>
      <c r="R132" s="179"/>
      <c r="S132" s="179"/>
      <c r="T132" s="179"/>
      <c r="U132" s="179"/>
      <c r="V132" s="179"/>
    </row>
    <row r="133" spans="2:58" ht="15" customHeight="1" x14ac:dyDescent="0.3">
      <c r="C133" s="2"/>
      <c r="E133" s="2" t="s">
        <v>133</v>
      </c>
      <c r="F133" s="212"/>
      <c r="G133" s="212"/>
      <c r="H133" s="212"/>
      <c r="I133" s="212"/>
      <c r="J133" s="212"/>
      <c r="K133" s="212"/>
      <c r="L133" s="212"/>
      <c r="M133" s="212"/>
      <c r="N133" s="212"/>
      <c r="O133" s="212"/>
      <c r="P133" s="212"/>
      <c r="Q133" s="212"/>
      <c r="R133" s="212"/>
      <c r="S133" s="212"/>
      <c r="T133" s="212"/>
      <c r="U133" s="212"/>
      <c r="V133" s="212"/>
      <c r="W133" s="4"/>
      <c r="X133" s="4"/>
      <c r="Y133" s="4"/>
      <c r="Z133" s="4"/>
      <c r="AA133" s="4"/>
      <c r="AB133" s="4"/>
      <c r="AC133" s="4"/>
      <c r="AD133" s="4"/>
      <c r="AE133" s="4"/>
      <c r="AF133" s="4"/>
      <c r="AG133" s="4"/>
      <c r="AH133" s="4"/>
      <c r="AI133" s="4"/>
      <c r="AJ133" s="4"/>
      <c r="AK133" s="4"/>
    </row>
    <row r="134" spans="2:58" ht="15" customHeight="1" x14ac:dyDescent="0.3">
      <c r="C134" s="2"/>
      <c r="E134" s="2" t="s">
        <v>273</v>
      </c>
      <c r="F134" s="212"/>
      <c r="G134" s="212"/>
      <c r="H134" s="212"/>
      <c r="I134" s="212"/>
      <c r="J134" s="212"/>
      <c r="K134" s="212"/>
      <c r="L134" s="212"/>
      <c r="M134" s="212"/>
      <c r="N134" s="212"/>
      <c r="O134" s="212"/>
      <c r="P134" s="212"/>
      <c r="Q134" s="212"/>
      <c r="R134" s="212"/>
      <c r="S134" s="212"/>
      <c r="T134" s="212"/>
      <c r="U134" s="212"/>
      <c r="V134" s="212"/>
      <c r="X134" s="2"/>
      <c r="Y134" s="2" t="s">
        <v>136</v>
      </c>
      <c r="Z134" s="191"/>
      <c r="AA134" s="191"/>
      <c r="AB134" s="191"/>
      <c r="AC134" s="191"/>
      <c r="AF134" s="2"/>
      <c r="AG134" s="2" t="s">
        <v>137</v>
      </c>
      <c r="AH134" s="191"/>
      <c r="AI134" s="191"/>
      <c r="AJ134" s="191"/>
      <c r="AK134" s="191"/>
    </row>
    <row r="135" spans="2:58" ht="15" customHeight="1" x14ac:dyDescent="0.3">
      <c r="C135" s="2"/>
      <c r="E135" s="2" t="s">
        <v>348</v>
      </c>
      <c r="F135" s="179"/>
      <c r="G135" s="179"/>
      <c r="H135" s="179"/>
      <c r="I135" s="179"/>
      <c r="J135" s="179"/>
      <c r="K135" s="179"/>
      <c r="L135" s="179"/>
      <c r="M135" s="179"/>
      <c r="N135" s="179"/>
      <c r="O135" s="179"/>
      <c r="P135" s="179"/>
      <c r="Q135" s="179"/>
      <c r="R135" s="179"/>
      <c r="S135" s="179"/>
      <c r="T135" s="179"/>
      <c r="U135" s="179"/>
      <c r="V135" s="179"/>
      <c r="X135" s="2"/>
      <c r="Y135" s="2"/>
      <c r="Z135" s="2"/>
      <c r="AA135" s="2"/>
      <c r="AB135" s="2"/>
      <c r="AC135" s="2"/>
      <c r="AD135" s="2"/>
      <c r="AE135" s="2"/>
      <c r="AF135" s="2"/>
      <c r="AG135" s="2"/>
      <c r="AH135" s="2"/>
      <c r="AI135" s="2"/>
      <c r="AJ135" s="2"/>
      <c r="AK135" s="2"/>
      <c r="AL135" s="2"/>
      <c r="AT135" s="2"/>
      <c r="AU135" s="2"/>
    </row>
    <row r="136" spans="2:58" ht="15" customHeight="1" x14ac:dyDescent="0.3">
      <c r="C136" s="2"/>
      <c r="E136" s="2" t="s">
        <v>134</v>
      </c>
      <c r="F136" s="246"/>
      <c r="G136" s="246"/>
      <c r="H136" s="246"/>
      <c r="I136" s="246"/>
      <c r="J136" s="246"/>
      <c r="K136" s="246"/>
      <c r="L136" s="246"/>
      <c r="M136" s="246"/>
      <c r="N136" s="246"/>
      <c r="O136" s="246"/>
      <c r="P136" s="246"/>
      <c r="Q136" s="246"/>
      <c r="R136" s="246"/>
      <c r="S136" s="246"/>
      <c r="T136" s="246"/>
      <c r="U136" s="246"/>
      <c r="V136" s="246"/>
      <c r="X136" s="9"/>
      <c r="Y136" s="9"/>
      <c r="Z136" s="9"/>
      <c r="AA136" s="9"/>
      <c r="AB136" s="9"/>
      <c r="AC136" s="9"/>
      <c r="AD136" s="2" t="s">
        <v>138</v>
      </c>
      <c r="AE136" s="263"/>
      <c r="AF136" s="263"/>
      <c r="AG136" s="263"/>
      <c r="AH136" s="263"/>
      <c r="AI136" s="263"/>
    </row>
    <row r="137" spans="2:58" ht="4.95" customHeight="1" x14ac:dyDescent="0.3">
      <c r="B137" s="2"/>
      <c r="C137" s="2"/>
      <c r="D137" s="2"/>
      <c r="E137" s="2"/>
      <c r="F137" s="2"/>
      <c r="G137" s="2"/>
      <c r="H137" s="37"/>
      <c r="I137" s="37"/>
      <c r="J137" s="37"/>
      <c r="K137" s="37"/>
      <c r="L137" s="37"/>
      <c r="M137" s="37"/>
      <c r="N137" s="37"/>
      <c r="O137" s="37"/>
      <c r="P137" s="37"/>
      <c r="Q137" s="37"/>
      <c r="R137" s="37"/>
      <c r="S137" s="37"/>
      <c r="T137" s="37"/>
      <c r="U137" s="37"/>
      <c r="V137" s="37"/>
      <c r="X137" s="4"/>
      <c r="Y137" s="4"/>
      <c r="Z137" s="4"/>
      <c r="AA137" s="4"/>
      <c r="AB137" s="4"/>
      <c r="AC137" s="4"/>
      <c r="AD137" s="2"/>
      <c r="AE137" s="4"/>
      <c r="AF137" s="4"/>
      <c r="AG137" s="4"/>
      <c r="AH137" s="4"/>
      <c r="AI137" s="4"/>
      <c r="AJ137" s="4"/>
      <c r="AK137" s="4"/>
    </row>
    <row r="138" spans="2:58" ht="15" customHeight="1" x14ac:dyDescent="0.3">
      <c r="B138" s="1" t="s">
        <v>264</v>
      </c>
      <c r="C138" s="1"/>
      <c r="D138" s="1"/>
      <c r="E138" s="1"/>
      <c r="F138" s="1"/>
      <c r="G138" s="1"/>
      <c r="H138" s="4"/>
      <c r="I138" s="4"/>
      <c r="J138" s="4"/>
      <c r="K138" s="4"/>
      <c r="L138" s="4"/>
      <c r="M138" s="4"/>
      <c r="N138" s="4"/>
      <c r="O138" s="4"/>
      <c r="P138" s="4"/>
      <c r="Q138" s="4"/>
      <c r="R138" s="4"/>
      <c r="S138" s="4"/>
      <c r="T138" s="4"/>
      <c r="U138" s="4"/>
      <c r="V138" s="4"/>
      <c r="X138" s="4"/>
      <c r="Y138" s="4"/>
      <c r="Z138" s="4"/>
      <c r="AA138" s="4"/>
      <c r="AB138" s="4"/>
      <c r="AC138" s="4"/>
      <c r="AD138" s="19"/>
      <c r="AE138" s="26" t="s">
        <v>131</v>
      </c>
      <c r="AH138" s="4"/>
      <c r="AI138" s="4"/>
      <c r="AJ138" s="4"/>
      <c r="AK138" s="4"/>
      <c r="AM138" s="89">
        <f>IF(ISBLANK(AD138),1,2)</f>
        <v>1</v>
      </c>
    </row>
    <row r="139" spans="2:58" ht="15" customHeight="1" x14ac:dyDescent="0.3">
      <c r="C139" s="2"/>
      <c r="E139" s="2" t="s">
        <v>135</v>
      </c>
      <c r="F139" s="179"/>
      <c r="G139" s="179"/>
      <c r="H139" s="179"/>
      <c r="I139" s="179"/>
      <c r="J139" s="179"/>
      <c r="K139" s="179"/>
      <c r="L139" s="179"/>
      <c r="M139" s="179"/>
      <c r="N139" s="179"/>
      <c r="O139" s="179"/>
      <c r="P139" s="179"/>
      <c r="Q139" s="179"/>
      <c r="R139" s="179"/>
      <c r="S139" s="179"/>
      <c r="T139" s="179"/>
      <c r="U139" s="179"/>
      <c r="V139" s="179"/>
      <c r="AM139" s="89">
        <f>IF(AND(ISBLANK(F139),ISBLANK(F140),ISBLANK(F141),ISBLANK(F142),ISBLANK(F143),ISBLANK(Z141),ISBLANK(AH141),ISBLANK(AE142),ISBLANK(AE143)),1,2)</f>
        <v>1</v>
      </c>
    </row>
    <row r="140" spans="2:58" ht="15" customHeight="1" x14ac:dyDescent="0.3">
      <c r="C140" s="2"/>
      <c r="E140" s="2" t="s">
        <v>133</v>
      </c>
      <c r="F140" s="212"/>
      <c r="G140" s="212"/>
      <c r="H140" s="212"/>
      <c r="I140" s="212"/>
      <c r="J140" s="212"/>
      <c r="K140" s="212"/>
      <c r="L140" s="212"/>
      <c r="M140" s="212"/>
      <c r="N140" s="212"/>
      <c r="O140" s="212"/>
      <c r="P140" s="212"/>
      <c r="Q140" s="212"/>
      <c r="R140" s="212"/>
      <c r="S140" s="212"/>
      <c r="T140" s="212"/>
      <c r="U140" s="212"/>
      <c r="V140" s="212"/>
      <c r="AE140" s="4"/>
      <c r="AF140" s="4"/>
      <c r="AG140" s="4"/>
      <c r="AH140" s="4"/>
      <c r="AI140" s="4"/>
      <c r="AJ140" s="4"/>
      <c r="AK140" s="4"/>
    </row>
    <row r="141" spans="2:58" ht="15" customHeight="1" x14ac:dyDescent="0.3">
      <c r="C141" s="2"/>
      <c r="E141" s="2" t="s">
        <v>273</v>
      </c>
      <c r="F141" s="212"/>
      <c r="G141" s="212"/>
      <c r="H141" s="212"/>
      <c r="I141" s="212"/>
      <c r="J141" s="212"/>
      <c r="K141" s="212"/>
      <c r="L141" s="212"/>
      <c r="M141" s="212"/>
      <c r="N141" s="212"/>
      <c r="O141" s="212"/>
      <c r="P141" s="212"/>
      <c r="Q141" s="212"/>
      <c r="R141" s="212"/>
      <c r="S141" s="212"/>
      <c r="T141" s="212"/>
      <c r="U141" s="212"/>
      <c r="V141" s="212"/>
      <c r="X141" s="2"/>
      <c r="Y141" s="2" t="s">
        <v>136</v>
      </c>
      <c r="Z141" s="191"/>
      <c r="AA141" s="191"/>
      <c r="AB141" s="191"/>
      <c r="AC141" s="191"/>
      <c r="AF141" s="2"/>
      <c r="AG141" s="2" t="s">
        <v>137</v>
      </c>
      <c r="AH141" s="191"/>
      <c r="AI141" s="191"/>
      <c r="AJ141" s="191"/>
      <c r="AK141" s="191"/>
    </row>
    <row r="142" spans="2:58" ht="15" customHeight="1" x14ac:dyDescent="0.3">
      <c r="C142" s="2"/>
      <c r="E142" s="2" t="s">
        <v>348</v>
      </c>
      <c r="F142" s="179"/>
      <c r="G142" s="179"/>
      <c r="H142" s="179"/>
      <c r="I142" s="179"/>
      <c r="J142" s="179"/>
      <c r="K142" s="179"/>
      <c r="L142" s="179"/>
      <c r="M142" s="179"/>
      <c r="N142" s="179"/>
      <c r="O142" s="179"/>
      <c r="P142" s="179"/>
      <c r="Q142" s="179"/>
      <c r="R142" s="179"/>
      <c r="S142" s="179"/>
      <c r="T142" s="179"/>
      <c r="U142" s="179"/>
      <c r="V142" s="179"/>
      <c r="W142" s="4"/>
      <c r="X142" s="4"/>
      <c r="Y142" s="4"/>
      <c r="Z142" s="4"/>
      <c r="AA142" s="4"/>
      <c r="AB142" s="4"/>
      <c r="AC142" s="4"/>
      <c r="AD142" s="2" t="s">
        <v>139</v>
      </c>
      <c r="AE142" s="179"/>
      <c r="AF142" s="179"/>
      <c r="AG142" s="179"/>
      <c r="AH142" s="179"/>
      <c r="AI142" s="179"/>
      <c r="AJ142" s="179"/>
      <c r="AK142" s="179"/>
    </row>
    <row r="143" spans="2:58" ht="15" customHeight="1" x14ac:dyDescent="0.3">
      <c r="C143" s="2"/>
      <c r="E143" s="2" t="s">
        <v>134</v>
      </c>
      <c r="F143" s="246"/>
      <c r="G143" s="246"/>
      <c r="H143" s="246"/>
      <c r="I143" s="246"/>
      <c r="J143" s="246"/>
      <c r="K143" s="246"/>
      <c r="L143" s="246"/>
      <c r="M143" s="246"/>
      <c r="N143" s="246"/>
      <c r="O143" s="246"/>
      <c r="P143" s="246"/>
      <c r="Q143" s="246"/>
      <c r="R143" s="246"/>
      <c r="S143" s="246"/>
      <c r="T143" s="246"/>
      <c r="U143" s="246"/>
      <c r="V143" s="246"/>
      <c r="AD143" s="2" t="s">
        <v>138</v>
      </c>
      <c r="AE143" s="260"/>
      <c r="AF143" s="260"/>
      <c r="AG143" s="260"/>
      <c r="AH143" s="260"/>
      <c r="AI143" s="260"/>
    </row>
    <row r="144" spans="2:58" ht="15" customHeight="1" x14ac:dyDescent="0.3">
      <c r="AK144" s="28"/>
    </row>
    <row r="145" spans="2:42" ht="15" customHeight="1" x14ac:dyDescent="0.3">
      <c r="B145" s="194">
        <f>Tables!$F$13</f>
        <v>45931</v>
      </c>
      <c r="C145" s="194"/>
      <c r="D145" s="194"/>
      <c r="E145" s="194"/>
      <c r="F145" s="194"/>
      <c r="G145" s="194"/>
      <c r="H145" s="194"/>
      <c r="R145" s="195" t="s">
        <v>343</v>
      </c>
      <c r="S145" s="195"/>
      <c r="T145" s="195"/>
      <c r="U145" s="195"/>
      <c r="AK145" s="28"/>
    </row>
    <row r="146" spans="2:42" ht="15" customHeight="1" x14ac:dyDescent="0.3">
      <c r="C146" s="2" t="s">
        <v>1</v>
      </c>
      <c r="D146" s="192">
        <f>IF(ISBLANK($E$7),"",$E$7)</f>
        <v>0</v>
      </c>
      <c r="E146" s="192"/>
      <c r="F146" s="192"/>
      <c r="G146" s="192"/>
      <c r="H146" s="192"/>
      <c r="I146" s="192"/>
      <c r="J146" s="192"/>
      <c r="K146" s="192"/>
      <c r="L146" s="192"/>
      <c r="M146" s="192"/>
      <c r="N146" s="192"/>
      <c r="O146" s="192"/>
      <c r="P146" s="192"/>
      <c r="Q146" s="192"/>
      <c r="R146" s="192"/>
      <c r="S146" s="192"/>
      <c r="T146" s="192"/>
      <c r="U146" s="192"/>
      <c r="V146" s="192"/>
      <c r="W146" s="192"/>
      <c r="X146" s="192"/>
      <c r="Y146" s="192"/>
      <c r="Z146" s="192"/>
      <c r="AA146" s="33"/>
      <c r="AB146" s="33"/>
      <c r="AC146" s="33"/>
      <c r="AF146" s="2" t="s">
        <v>21</v>
      </c>
      <c r="AG146" s="217">
        <f>$AF$7</f>
        <v>0</v>
      </c>
      <c r="AH146" s="217"/>
      <c r="AI146" s="217"/>
      <c r="AJ146" s="217"/>
      <c r="AK146" s="217"/>
    </row>
    <row r="147" spans="2:42" ht="15" customHeight="1" x14ac:dyDescent="0.3">
      <c r="H147" s="34"/>
      <c r="I147" s="34"/>
      <c r="J147" s="2"/>
      <c r="K147" s="2"/>
      <c r="L147" s="2"/>
      <c r="M147" s="34"/>
      <c r="N147" s="33"/>
      <c r="O147" s="33"/>
      <c r="P147" s="33"/>
      <c r="Q147" s="33"/>
      <c r="R147" s="33"/>
      <c r="S147" s="33"/>
      <c r="T147" s="33"/>
      <c r="U147" s="33"/>
      <c r="V147" s="33"/>
      <c r="W147" s="33"/>
      <c r="X147" s="33"/>
      <c r="Y147" s="33"/>
      <c r="Z147" s="33"/>
      <c r="AA147" s="33"/>
      <c r="AB147" s="33"/>
      <c r="AC147" s="33"/>
      <c r="AF147" s="2" t="s">
        <v>34</v>
      </c>
      <c r="AG147" s="243">
        <f>IF(ISBLANK($AF$8),"",$AF$8)</f>
        <v>0</v>
      </c>
      <c r="AH147" s="243"/>
      <c r="AI147" s="243"/>
      <c r="AJ147" s="243"/>
      <c r="AK147" s="243"/>
    </row>
    <row r="148" spans="2:42" ht="15" customHeight="1" x14ac:dyDescent="0.3">
      <c r="S148" s="53"/>
      <c r="T148" s="53"/>
    </row>
    <row r="149" spans="2:42" ht="15" customHeight="1" x14ac:dyDescent="0.3">
      <c r="B149" s="1" t="s">
        <v>332</v>
      </c>
      <c r="F149" s="34"/>
      <c r="G149" s="34"/>
      <c r="H149" s="26" t="s">
        <v>333</v>
      </c>
      <c r="I149" s="34"/>
      <c r="J149" s="34"/>
      <c r="K149" s="2"/>
      <c r="L149" s="2"/>
      <c r="M149" s="2"/>
      <c r="N149" s="2"/>
      <c r="O149" s="34"/>
      <c r="P149" s="33"/>
      <c r="Q149" s="33"/>
      <c r="R149" s="33"/>
      <c r="S149" s="33"/>
      <c r="T149" s="33"/>
      <c r="U149" s="33"/>
      <c r="V149" s="33"/>
      <c r="W149" s="33"/>
      <c r="X149" s="33"/>
      <c r="Y149" s="33"/>
      <c r="Z149" s="33"/>
      <c r="AA149" s="33"/>
      <c r="AB149" s="33"/>
      <c r="AC149" s="33"/>
      <c r="AD149" s="33"/>
      <c r="AE149" s="33"/>
      <c r="AF149" s="33"/>
      <c r="AG149" s="33"/>
      <c r="AH149" s="33"/>
      <c r="AI149" s="33"/>
      <c r="AJ149" s="33"/>
      <c r="AK149" s="33"/>
      <c r="AM149" s="10"/>
      <c r="AN149" s="10"/>
    </row>
    <row r="150" spans="2:42" ht="15" customHeight="1" x14ac:dyDescent="0.3">
      <c r="C150" s="26" t="s">
        <v>157</v>
      </c>
      <c r="E150" s="26" t="s">
        <v>141</v>
      </c>
      <c r="AM150" s="89">
        <f>SUM(AM154:AM174)</f>
        <v>11</v>
      </c>
      <c r="AP150" s="89">
        <f>SUM(AP154:AP174)</f>
        <v>0</v>
      </c>
    </row>
    <row r="151" spans="2:42" ht="4.95" customHeight="1" x14ac:dyDescent="0.3"/>
    <row r="152" spans="2:42" ht="15" customHeight="1" x14ac:dyDescent="0.3">
      <c r="C152" s="55"/>
      <c r="E152" s="55"/>
      <c r="G152" s="26" t="s">
        <v>334</v>
      </c>
      <c r="X152" s="26" t="s">
        <v>335</v>
      </c>
      <c r="AC152" s="26" t="s">
        <v>336</v>
      </c>
      <c r="AM152" s="89">
        <f>IF(AND(ISBLANK(C152),ISBLANK(E152)),1,0)</f>
        <v>1</v>
      </c>
      <c r="AN152" s="89">
        <f>IF(ISBLANK(E152),1,2)</f>
        <v>1</v>
      </c>
      <c r="AO152" s="89">
        <f>IF(ISBLANK(C152),1,2)</f>
        <v>1</v>
      </c>
      <c r="AP152" s="89">
        <f>IF(ISBLANK(E152),0,1)</f>
        <v>0</v>
      </c>
    </row>
    <row r="153" spans="2:42" ht="4.95" customHeight="1" x14ac:dyDescent="0.3"/>
    <row r="154" spans="2:42" ht="15" customHeight="1" x14ac:dyDescent="0.3">
      <c r="C154" s="55"/>
      <c r="E154" s="55"/>
      <c r="G154" s="26" t="s">
        <v>457</v>
      </c>
      <c r="Y154" s="191"/>
      <c r="Z154" s="191"/>
      <c r="AC154" s="261"/>
      <c r="AD154" s="261"/>
      <c r="AE154" s="261"/>
      <c r="AF154" s="261"/>
      <c r="AG154" s="261"/>
      <c r="AH154" s="261"/>
      <c r="AI154" s="261"/>
      <c r="AM154" s="89">
        <f>IF(AND(ISBLANK(C154),ISBLANK(E154)),1,2)</f>
        <v>1</v>
      </c>
      <c r="AN154" s="89">
        <f>IF(ISBLANK(E154),1,2)</f>
        <v>1</v>
      </c>
      <c r="AO154" s="89">
        <f>IF(ISBLANK(C154),1,2)</f>
        <v>1</v>
      </c>
      <c r="AP154" s="89">
        <f>IF(ISBLANK(E154),0,1)</f>
        <v>0</v>
      </c>
    </row>
    <row r="155" spans="2:42" ht="4.95" customHeight="1" x14ac:dyDescent="0.3"/>
    <row r="156" spans="2:42" ht="15" customHeight="1" x14ac:dyDescent="0.3">
      <c r="C156" s="55"/>
      <c r="E156" s="55"/>
      <c r="G156" s="26" t="s">
        <v>458</v>
      </c>
      <c r="Y156" s="191"/>
      <c r="Z156" s="191"/>
      <c r="AC156" s="261"/>
      <c r="AD156" s="261"/>
      <c r="AE156" s="261"/>
      <c r="AF156" s="261"/>
      <c r="AG156" s="261"/>
      <c r="AH156" s="261"/>
      <c r="AI156" s="261"/>
      <c r="AM156" s="89">
        <f>IF(AND(ISBLANK(C156),ISBLANK(E156)),1,2)</f>
        <v>1</v>
      </c>
      <c r="AN156" s="89">
        <f>IF(ISBLANK(E156),1,2)</f>
        <v>1</v>
      </c>
      <c r="AO156" s="89">
        <f>IF(ISBLANK(C156),1,2)</f>
        <v>1</v>
      </c>
      <c r="AP156" s="89">
        <f>IF(ISBLANK(E156),0,1)</f>
        <v>0</v>
      </c>
    </row>
    <row r="157" spans="2:42" ht="4.95" customHeight="1" x14ac:dyDescent="0.3"/>
    <row r="158" spans="2:42" ht="15" customHeight="1" x14ac:dyDescent="0.3">
      <c r="C158" s="55"/>
      <c r="E158" s="55"/>
      <c r="G158" s="26" t="s">
        <v>463</v>
      </c>
      <c r="Y158" s="191"/>
      <c r="Z158" s="191"/>
      <c r="AC158" s="261"/>
      <c r="AD158" s="261"/>
      <c r="AE158" s="261"/>
      <c r="AF158" s="261"/>
      <c r="AG158" s="261"/>
      <c r="AH158" s="261"/>
      <c r="AI158" s="261"/>
      <c r="AM158" s="89">
        <f>IF(AND(ISBLANK(C158),ISBLANK(E158)),1,2)</f>
        <v>1</v>
      </c>
      <c r="AN158" s="89">
        <f>IF(ISBLANK(E158),1,2)</f>
        <v>1</v>
      </c>
      <c r="AO158" s="89">
        <f>IF(ISBLANK(C158),1,2)</f>
        <v>1</v>
      </c>
      <c r="AP158" s="89">
        <f>IF(ISBLANK(E158),0,1)</f>
        <v>0</v>
      </c>
    </row>
    <row r="159" spans="2:42" ht="4.95" customHeight="1" x14ac:dyDescent="0.3"/>
    <row r="160" spans="2:42" ht="15" customHeight="1" x14ac:dyDescent="0.3">
      <c r="C160" s="55"/>
      <c r="E160" s="55"/>
      <c r="G160" s="26" t="s">
        <v>459</v>
      </c>
      <c r="Y160" s="191"/>
      <c r="Z160" s="191"/>
      <c r="AC160" s="261"/>
      <c r="AD160" s="261"/>
      <c r="AE160" s="261"/>
      <c r="AF160" s="261"/>
      <c r="AG160" s="261"/>
      <c r="AH160" s="261"/>
      <c r="AI160" s="261"/>
      <c r="AM160" s="89">
        <f>IF(AND(ISBLANK(C160),ISBLANK(E160)),1,2)</f>
        <v>1</v>
      </c>
      <c r="AN160" s="89">
        <f>IF(ISBLANK(E160),1,2)</f>
        <v>1</v>
      </c>
      <c r="AO160" s="89">
        <f>IF(ISBLANK(C160),1,2)</f>
        <v>1</v>
      </c>
      <c r="AP160" s="89">
        <f>IF(ISBLANK(E160),0,1)</f>
        <v>0</v>
      </c>
    </row>
    <row r="161" spans="2:42" ht="4.95" customHeight="1" x14ac:dyDescent="0.3">
      <c r="C161" s="34"/>
      <c r="E161" s="2"/>
      <c r="J161" s="34"/>
      <c r="K161" s="33"/>
      <c r="L161" s="33"/>
      <c r="M161" s="33"/>
      <c r="N161" s="33"/>
      <c r="O161" s="33"/>
      <c r="X161" s="33"/>
      <c r="Y161" s="33"/>
      <c r="Z161" s="33"/>
      <c r="AA161" s="33"/>
      <c r="AB161" s="33"/>
      <c r="AC161" s="33"/>
      <c r="AD161" s="33"/>
      <c r="AE161" s="33"/>
      <c r="AF161" s="33"/>
      <c r="AG161" s="33"/>
      <c r="AH161" s="33"/>
      <c r="AI161" s="33"/>
      <c r="AJ161" s="33"/>
      <c r="AK161" s="33"/>
      <c r="AM161" s="10"/>
      <c r="AN161" s="10"/>
    </row>
    <row r="162" spans="2:42" ht="15" customHeight="1" x14ac:dyDescent="0.3">
      <c r="C162" s="55"/>
      <c r="E162" s="55"/>
      <c r="G162" s="26" t="s">
        <v>460</v>
      </c>
      <c r="Y162" s="191"/>
      <c r="Z162" s="191"/>
      <c r="AC162" s="261"/>
      <c r="AD162" s="261"/>
      <c r="AE162" s="261"/>
      <c r="AF162" s="261"/>
      <c r="AG162" s="261"/>
      <c r="AH162" s="261"/>
      <c r="AI162" s="261"/>
      <c r="AM162" s="89">
        <f>IF(AND(ISBLANK(C162),ISBLANK(E162)),1,2)</f>
        <v>1</v>
      </c>
      <c r="AN162" s="89">
        <f>IF(ISBLANK(E162),1,2)</f>
        <v>1</v>
      </c>
      <c r="AO162" s="89">
        <f>IF(ISBLANK(C162),1,2)</f>
        <v>1</v>
      </c>
      <c r="AP162" s="89">
        <f>IF(ISBLANK(E162),0,1)</f>
        <v>0</v>
      </c>
    </row>
    <row r="163" spans="2:42" ht="4.95" customHeight="1" x14ac:dyDescent="0.3">
      <c r="C163" s="34"/>
      <c r="E163" s="2"/>
      <c r="J163" s="34"/>
      <c r="K163" s="33"/>
      <c r="L163" s="33"/>
      <c r="M163" s="33"/>
      <c r="N163" s="33"/>
      <c r="O163" s="33"/>
      <c r="X163" s="33"/>
      <c r="Y163" s="33"/>
      <c r="Z163" s="33"/>
      <c r="AA163" s="33"/>
      <c r="AB163" s="33"/>
      <c r="AC163" s="33"/>
      <c r="AD163" s="33"/>
      <c r="AE163" s="33"/>
      <c r="AF163" s="33"/>
      <c r="AG163" s="33"/>
      <c r="AH163" s="33"/>
      <c r="AI163" s="33"/>
      <c r="AJ163" s="33"/>
      <c r="AK163" s="33"/>
      <c r="AM163" s="10"/>
      <c r="AN163" s="10"/>
    </row>
    <row r="164" spans="2:42" ht="15" customHeight="1" x14ac:dyDescent="0.3">
      <c r="C164" s="55"/>
      <c r="E164" s="55"/>
      <c r="G164" s="26" t="s">
        <v>461</v>
      </c>
      <c r="Y164" s="191"/>
      <c r="Z164" s="191"/>
      <c r="AC164" s="261"/>
      <c r="AD164" s="261"/>
      <c r="AE164" s="261"/>
      <c r="AF164" s="261"/>
      <c r="AG164" s="261"/>
      <c r="AH164" s="261"/>
      <c r="AI164" s="261"/>
      <c r="AM164" s="89">
        <f>IF(AND(ISBLANK(C164),ISBLANK(E164)),1,2)</f>
        <v>1</v>
      </c>
      <c r="AN164" s="89">
        <f>IF(ISBLANK(E164),1,2)</f>
        <v>1</v>
      </c>
      <c r="AO164" s="89">
        <f>IF(ISBLANK(C164),1,2)</f>
        <v>1</v>
      </c>
      <c r="AP164" s="89">
        <f>IF(ISBLANK(E164),0,1)</f>
        <v>0</v>
      </c>
    </row>
    <row r="165" spans="2:42" ht="4.95" customHeight="1" x14ac:dyDescent="0.3">
      <c r="C165" s="34"/>
      <c r="E165" s="2"/>
      <c r="J165" s="34"/>
      <c r="K165" s="33"/>
      <c r="L165" s="33"/>
      <c r="M165" s="33"/>
      <c r="N165" s="33"/>
      <c r="O165" s="33"/>
      <c r="X165" s="33"/>
      <c r="Y165" s="33"/>
      <c r="Z165" s="33"/>
      <c r="AA165" s="33"/>
      <c r="AB165" s="33"/>
      <c r="AC165" s="33"/>
      <c r="AD165" s="33"/>
      <c r="AE165" s="33"/>
      <c r="AF165" s="33"/>
      <c r="AG165" s="33"/>
      <c r="AH165" s="33"/>
      <c r="AI165" s="33"/>
      <c r="AJ165" s="33"/>
      <c r="AK165" s="33"/>
      <c r="AM165" s="10"/>
      <c r="AN165" s="10"/>
    </row>
    <row r="166" spans="2:42" ht="15" customHeight="1" x14ac:dyDescent="0.3">
      <c r="C166" s="55"/>
      <c r="E166" s="55"/>
      <c r="G166" s="26" t="s">
        <v>339</v>
      </c>
      <c r="Y166" s="191"/>
      <c r="Z166" s="191"/>
      <c r="AC166" s="261"/>
      <c r="AD166" s="261"/>
      <c r="AE166" s="261"/>
      <c r="AF166" s="261"/>
      <c r="AG166" s="261"/>
      <c r="AH166" s="261"/>
      <c r="AI166" s="261"/>
      <c r="AM166" s="89">
        <f>IF(AND(ISBLANK(C166),ISBLANK(E166)),1,2)</f>
        <v>1</v>
      </c>
      <c r="AN166" s="89">
        <f>IF(ISBLANK(E166),1,2)</f>
        <v>1</v>
      </c>
      <c r="AO166" s="89">
        <f>IF(ISBLANK(C166),1,2)</f>
        <v>1</v>
      </c>
      <c r="AP166" s="89">
        <f>IF(ISBLANK(E166),0,1)</f>
        <v>0</v>
      </c>
    </row>
    <row r="167" spans="2:42" ht="4.95" customHeight="1" x14ac:dyDescent="0.3">
      <c r="C167" s="34"/>
      <c r="E167" s="2"/>
      <c r="J167" s="34"/>
      <c r="K167" s="33"/>
      <c r="L167" s="33"/>
      <c r="M167" s="33"/>
      <c r="N167" s="33"/>
      <c r="O167" s="33"/>
      <c r="X167" s="33"/>
      <c r="Y167" s="33"/>
      <c r="Z167" s="33"/>
      <c r="AA167" s="33"/>
      <c r="AB167" s="33"/>
      <c r="AC167" s="33"/>
      <c r="AD167" s="33"/>
      <c r="AE167" s="33"/>
      <c r="AF167" s="33"/>
      <c r="AG167" s="33"/>
      <c r="AH167" s="33"/>
      <c r="AI167" s="33"/>
      <c r="AJ167" s="33"/>
      <c r="AK167" s="33"/>
      <c r="AM167" s="10"/>
      <c r="AN167" s="10"/>
    </row>
    <row r="168" spans="2:42" ht="15" customHeight="1" x14ac:dyDescent="0.3">
      <c r="C168" s="55"/>
      <c r="E168" s="55"/>
      <c r="G168" s="26" t="s">
        <v>462</v>
      </c>
      <c r="Y168" s="191"/>
      <c r="Z168" s="191"/>
      <c r="AC168" s="261"/>
      <c r="AD168" s="261"/>
      <c r="AE168" s="261"/>
      <c r="AF168" s="261"/>
      <c r="AG168" s="261"/>
      <c r="AH168" s="261"/>
      <c r="AI168" s="261"/>
      <c r="AM168" s="89">
        <f>IF(AND(ISBLANK(C168),ISBLANK(E168)),1,2)</f>
        <v>1</v>
      </c>
      <c r="AN168" s="89">
        <f>IF(ISBLANK(E168),1,2)</f>
        <v>1</v>
      </c>
      <c r="AO168" s="89">
        <f>IF(ISBLANK(C168),1,2)</f>
        <v>1</v>
      </c>
      <c r="AP168" s="89">
        <f>IF(ISBLANK(E168),0,1)</f>
        <v>0</v>
      </c>
    </row>
    <row r="169" spans="2:42" ht="4.95" customHeight="1" x14ac:dyDescent="0.3">
      <c r="I169" s="34"/>
      <c r="J169" s="2"/>
      <c r="K169" s="2"/>
      <c r="L169" s="2"/>
      <c r="M169" s="34"/>
      <c r="N169" s="33"/>
      <c r="O169" s="33"/>
      <c r="X169" s="33"/>
      <c r="Y169" s="33"/>
      <c r="Z169" s="33"/>
      <c r="AA169" s="33"/>
      <c r="AB169" s="33"/>
      <c r="AC169" s="33"/>
      <c r="AD169" s="33"/>
      <c r="AE169" s="33"/>
      <c r="AF169" s="33"/>
      <c r="AG169" s="33"/>
      <c r="AH169" s="33"/>
      <c r="AI169" s="33"/>
      <c r="AM169" s="10"/>
      <c r="AN169" s="10"/>
    </row>
    <row r="170" spans="2:42" ht="15" customHeight="1" x14ac:dyDescent="0.3">
      <c r="C170" s="55"/>
      <c r="E170" s="55"/>
      <c r="G170" s="26" t="s">
        <v>340</v>
      </c>
      <c r="I170" s="34"/>
      <c r="J170" s="2"/>
      <c r="K170" s="2"/>
      <c r="L170" s="2"/>
      <c r="M170" s="34"/>
      <c r="N170" s="33"/>
      <c r="O170" s="33"/>
      <c r="X170" s="33"/>
      <c r="Y170" s="191"/>
      <c r="Z170" s="191"/>
      <c r="AC170" s="261"/>
      <c r="AD170" s="261"/>
      <c r="AE170" s="261"/>
      <c r="AF170" s="261"/>
      <c r="AG170" s="261"/>
      <c r="AH170" s="261"/>
      <c r="AI170" s="261"/>
      <c r="AM170" s="89">
        <f>IF(AND(ISBLANK(C170),ISBLANK(E170)),1,2)</f>
        <v>1</v>
      </c>
      <c r="AN170" s="89">
        <f>IF(ISBLANK(E170),1,2)</f>
        <v>1</v>
      </c>
      <c r="AO170" s="89">
        <f>IF(ISBLANK(C170),1,2)</f>
        <v>1</v>
      </c>
      <c r="AP170" s="89">
        <f>IF(ISBLANK(E170),0,1)</f>
        <v>0</v>
      </c>
    </row>
    <row r="171" spans="2:42" ht="4.95" customHeight="1" x14ac:dyDescent="0.3">
      <c r="I171" s="34"/>
      <c r="J171" s="2"/>
      <c r="K171" s="2"/>
      <c r="L171" s="2"/>
      <c r="M171" s="34"/>
      <c r="N171" s="33"/>
      <c r="O171" s="33"/>
      <c r="X171" s="33"/>
      <c r="Y171" s="33"/>
      <c r="Z171" s="33"/>
      <c r="AA171" s="33"/>
      <c r="AB171" s="33"/>
      <c r="AC171" s="33"/>
      <c r="AD171" s="33"/>
      <c r="AE171" s="33"/>
      <c r="AF171" s="33"/>
      <c r="AG171" s="33"/>
      <c r="AH171" s="33"/>
      <c r="AI171" s="33"/>
      <c r="AM171" s="10"/>
      <c r="AN171" s="10"/>
    </row>
    <row r="172" spans="2:42" ht="15" customHeight="1" x14ac:dyDescent="0.3">
      <c r="C172" s="55"/>
      <c r="E172" s="55"/>
      <c r="G172" s="26" t="s">
        <v>337</v>
      </c>
      <c r="Y172" s="191"/>
      <c r="Z172" s="191"/>
      <c r="AC172" s="261"/>
      <c r="AD172" s="261"/>
      <c r="AE172" s="261"/>
      <c r="AF172" s="261"/>
      <c r="AG172" s="261"/>
      <c r="AH172" s="261"/>
      <c r="AI172" s="261"/>
      <c r="AM172" s="89">
        <f>IF(AND(ISBLANK(C172),ISBLANK(E172)),1,2)</f>
        <v>1</v>
      </c>
      <c r="AN172" s="89">
        <f>IF(ISBLANK(E172),1,2)</f>
        <v>1</v>
      </c>
      <c r="AO172" s="89">
        <f>IF(ISBLANK(C172),1,2)</f>
        <v>1</v>
      </c>
      <c r="AP172" s="89">
        <f>IF(ISBLANK(E172),0,1)</f>
        <v>0</v>
      </c>
    </row>
    <row r="173" spans="2:42" ht="4.95" customHeight="1" x14ac:dyDescent="0.3">
      <c r="I173" s="34"/>
      <c r="J173" s="2"/>
      <c r="K173" s="2"/>
      <c r="L173" s="2"/>
      <c r="M173" s="34"/>
      <c r="N173" s="33"/>
      <c r="O173" s="33"/>
      <c r="P173" s="33"/>
      <c r="Q173" s="33"/>
      <c r="R173" s="33"/>
      <c r="S173" s="33"/>
      <c r="T173" s="33"/>
      <c r="U173" s="33"/>
      <c r="V173" s="33"/>
      <c r="W173" s="33"/>
      <c r="X173" s="33"/>
      <c r="Y173" s="33"/>
      <c r="Z173" s="33"/>
      <c r="AA173" s="33"/>
      <c r="AB173" s="33"/>
      <c r="AC173" s="33"/>
      <c r="AM173" s="10"/>
      <c r="AN173" s="10"/>
    </row>
    <row r="174" spans="2:42" ht="15" customHeight="1" x14ac:dyDescent="0.3">
      <c r="C174" s="55"/>
      <c r="E174" s="55"/>
      <c r="G174" s="26" t="s">
        <v>338</v>
      </c>
      <c r="I174" s="34"/>
      <c r="J174" s="2"/>
      <c r="K174" s="2"/>
      <c r="L174" s="2"/>
      <c r="M174" s="34"/>
      <c r="N174" s="33"/>
      <c r="O174" s="33"/>
      <c r="P174" s="33"/>
      <c r="Q174" s="33"/>
      <c r="R174" s="33"/>
      <c r="S174" s="33"/>
      <c r="T174" s="33"/>
      <c r="U174" s="33"/>
      <c r="V174" s="33"/>
      <c r="W174" s="33"/>
      <c r="X174" s="33"/>
      <c r="Y174" s="191"/>
      <c r="Z174" s="191"/>
      <c r="AC174" s="261"/>
      <c r="AD174" s="261"/>
      <c r="AE174" s="261"/>
      <c r="AF174" s="261"/>
      <c r="AG174" s="261"/>
      <c r="AH174" s="261"/>
      <c r="AI174" s="261"/>
      <c r="AM174" s="89">
        <f>IF(AND(ISBLANK(C174),ISBLANK(E174)),1,2)</f>
        <v>1</v>
      </c>
      <c r="AN174" s="89">
        <f>IF(ISBLANK(E174),1,2)</f>
        <v>1</v>
      </c>
      <c r="AO174" s="89">
        <f>IF(ISBLANK(C174),1,2)</f>
        <v>1</v>
      </c>
      <c r="AP174" s="89">
        <f>IF(ISBLANK(E174),0,1)</f>
        <v>0</v>
      </c>
    </row>
    <row r="175" spans="2:42" ht="15" customHeight="1" x14ac:dyDescent="0.3">
      <c r="AK175" s="28"/>
    </row>
    <row r="176" spans="2:42" ht="15" customHeight="1" x14ac:dyDescent="0.3">
      <c r="B176" s="1" t="s">
        <v>19</v>
      </c>
      <c r="C176" s="1"/>
      <c r="D176" s="1"/>
      <c r="E176" s="1"/>
      <c r="F176" s="1"/>
      <c r="G176" s="1"/>
      <c r="H176" s="1"/>
      <c r="I176" s="1"/>
    </row>
    <row r="177" spans="2:37" ht="15" customHeight="1" x14ac:dyDescent="0.3">
      <c r="B177" s="264" t="s">
        <v>464</v>
      </c>
      <c r="C177" s="264"/>
      <c r="D177" s="264"/>
      <c r="E177" s="264"/>
      <c r="F177" s="264"/>
      <c r="G177" s="264"/>
      <c r="H177" s="264"/>
      <c r="I177" s="264"/>
      <c r="J177" s="264"/>
      <c r="K177" s="264"/>
      <c r="L177" s="264"/>
      <c r="M177" s="264"/>
      <c r="N177" s="264"/>
      <c r="O177" s="264"/>
      <c r="P177" s="264"/>
      <c r="Q177" s="264"/>
      <c r="R177" s="264"/>
      <c r="S177" s="264"/>
      <c r="T177" s="264"/>
      <c r="U177" s="264"/>
      <c r="V177" s="264"/>
      <c r="W177" s="264"/>
      <c r="X177" s="264"/>
      <c r="Y177" s="264"/>
      <c r="Z177" s="264"/>
      <c r="AA177" s="264"/>
      <c r="AB177" s="264"/>
      <c r="AC177" s="264"/>
      <c r="AD177" s="264"/>
      <c r="AE177" s="264"/>
      <c r="AF177" s="264"/>
      <c r="AG177" s="264"/>
      <c r="AH177" s="264"/>
      <c r="AI177" s="264"/>
      <c r="AJ177" s="264"/>
      <c r="AK177" s="264"/>
    </row>
    <row r="178" spans="2:37" ht="15" customHeight="1" x14ac:dyDescent="0.3">
      <c r="B178" s="264"/>
      <c r="C178" s="264"/>
      <c r="D178" s="264"/>
      <c r="E178" s="264"/>
      <c r="F178" s="264"/>
      <c r="G178" s="264"/>
      <c r="H178" s="264"/>
      <c r="I178" s="264"/>
      <c r="J178" s="264"/>
      <c r="K178" s="264"/>
      <c r="L178" s="264"/>
      <c r="M178" s="264"/>
      <c r="N178" s="264"/>
      <c r="O178" s="264"/>
      <c r="P178" s="264"/>
      <c r="Q178" s="264"/>
      <c r="R178" s="264"/>
      <c r="S178" s="264"/>
      <c r="T178" s="264"/>
      <c r="U178" s="264"/>
      <c r="V178" s="264"/>
      <c r="W178" s="264"/>
      <c r="X178" s="264"/>
      <c r="Y178" s="264"/>
      <c r="Z178" s="264"/>
      <c r="AA178" s="264"/>
      <c r="AB178" s="264"/>
      <c r="AC178" s="264"/>
      <c r="AD178" s="264"/>
      <c r="AE178" s="264"/>
      <c r="AF178" s="264"/>
      <c r="AG178" s="264"/>
      <c r="AH178" s="264"/>
      <c r="AI178" s="264"/>
      <c r="AJ178" s="264"/>
      <c r="AK178" s="264"/>
    </row>
    <row r="179" spans="2:37" ht="15" customHeight="1" x14ac:dyDescent="0.3">
      <c r="B179" s="264"/>
      <c r="C179" s="264"/>
      <c r="D179" s="264"/>
      <c r="E179" s="264"/>
      <c r="F179" s="264"/>
      <c r="G179" s="264"/>
      <c r="H179" s="264"/>
      <c r="I179" s="264"/>
      <c r="J179" s="264"/>
      <c r="K179" s="264"/>
      <c r="L179" s="264"/>
      <c r="M179" s="264"/>
      <c r="N179" s="264"/>
      <c r="O179" s="264"/>
      <c r="P179" s="264"/>
      <c r="Q179" s="264"/>
      <c r="R179" s="264"/>
      <c r="S179" s="264"/>
      <c r="T179" s="264"/>
      <c r="U179" s="264"/>
      <c r="V179" s="264"/>
      <c r="W179" s="264"/>
      <c r="X179" s="264"/>
      <c r="Y179" s="264"/>
      <c r="Z179" s="264"/>
      <c r="AA179" s="264"/>
      <c r="AB179" s="264"/>
      <c r="AC179" s="264"/>
      <c r="AD179" s="264"/>
      <c r="AE179" s="264"/>
      <c r="AF179" s="264"/>
      <c r="AG179" s="264"/>
      <c r="AH179" s="264"/>
      <c r="AI179" s="264"/>
      <c r="AJ179" s="264"/>
      <c r="AK179" s="264"/>
    </row>
    <row r="180" spans="2:37" ht="15" customHeight="1" x14ac:dyDescent="0.3">
      <c r="B180" s="264"/>
      <c r="C180" s="264"/>
      <c r="D180" s="264"/>
      <c r="E180" s="264"/>
      <c r="F180" s="264"/>
      <c r="G180" s="264"/>
      <c r="H180" s="264"/>
      <c r="I180" s="264"/>
      <c r="J180" s="264"/>
      <c r="K180" s="264"/>
      <c r="L180" s="264"/>
      <c r="M180" s="264"/>
      <c r="N180" s="264"/>
      <c r="O180" s="264"/>
      <c r="P180" s="264"/>
      <c r="Q180" s="264"/>
      <c r="R180" s="264"/>
      <c r="S180" s="264"/>
      <c r="T180" s="264"/>
      <c r="U180" s="264"/>
      <c r="V180" s="264"/>
      <c r="W180" s="264"/>
      <c r="X180" s="264"/>
      <c r="Y180" s="264"/>
      <c r="Z180" s="264"/>
      <c r="AA180" s="264"/>
      <c r="AB180" s="264"/>
      <c r="AC180" s="264"/>
      <c r="AD180" s="264"/>
      <c r="AE180" s="264"/>
      <c r="AF180" s="264"/>
      <c r="AG180" s="264"/>
      <c r="AH180" s="264"/>
      <c r="AI180" s="264"/>
      <c r="AJ180" s="264"/>
      <c r="AK180" s="264"/>
    </row>
    <row r="181" spans="2:37" ht="15" customHeight="1" x14ac:dyDescent="0.3">
      <c r="D181" s="2" t="s">
        <v>171</v>
      </c>
      <c r="E181" s="179"/>
      <c r="F181" s="179"/>
      <c r="G181" s="179"/>
      <c r="H181" s="179"/>
      <c r="I181" s="179"/>
      <c r="J181" s="179"/>
      <c r="K181" s="179"/>
      <c r="L181" s="179"/>
      <c r="M181" s="179"/>
      <c r="N181" s="179"/>
      <c r="O181" s="179"/>
      <c r="P181" s="179"/>
      <c r="Q181" s="179"/>
      <c r="R181" s="179"/>
      <c r="S181" s="179"/>
      <c r="T181" s="179"/>
      <c r="U181" s="179"/>
      <c r="V181" s="179"/>
      <c r="W181" s="179"/>
      <c r="X181" s="179"/>
      <c r="Y181" s="179"/>
      <c r="AB181" s="2" t="s">
        <v>290</v>
      </c>
      <c r="AC181" s="2"/>
      <c r="AD181" s="2"/>
      <c r="AE181" s="2"/>
    </row>
    <row r="182" spans="2:37" ht="15" customHeight="1" x14ac:dyDescent="0.3">
      <c r="D182" s="2" t="s">
        <v>132</v>
      </c>
      <c r="E182" s="212"/>
      <c r="F182" s="212"/>
      <c r="G182" s="212"/>
      <c r="H182" s="212"/>
      <c r="I182" s="212"/>
      <c r="J182" s="212"/>
      <c r="K182" s="212"/>
      <c r="L182" s="212"/>
      <c r="M182" s="212"/>
      <c r="N182" s="212"/>
      <c r="O182" s="212"/>
      <c r="P182" s="212"/>
      <c r="Q182" s="212"/>
      <c r="R182" s="212"/>
      <c r="S182" s="212"/>
      <c r="T182" s="212"/>
      <c r="U182" s="212"/>
      <c r="V182" s="212"/>
      <c r="W182" s="212"/>
      <c r="X182" s="212"/>
      <c r="Y182" s="212"/>
    </row>
    <row r="183" spans="2:37" ht="15" customHeight="1" x14ac:dyDescent="0.3">
      <c r="D183" s="2" t="s">
        <v>133</v>
      </c>
      <c r="E183" s="212"/>
      <c r="F183" s="212"/>
      <c r="G183" s="212"/>
      <c r="H183" s="212"/>
      <c r="I183" s="212"/>
      <c r="J183" s="212"/>
      <c r="K183" s="212"/>
      <c r="L183" s="212"/>
      <c r="M183" s="212"/>
      <c r="N183" s="212"/>
      <c r="O183" s="212"/>
      <c r="P183" s="212"/>
      <c r="Q183" s="212"/>
      <c r="R183" s="212"/>
      <c r="S183" s="212"/>
      <c r="T183" s="212"/>
      <c r="U183" s="212"/>
      <c r="V183" s="212"/>
      <c r="W183" s="212"/>
      <c r="X183" s="212"/>
      <c r="Y183" s="212"/>
    </row>
    <row r="184" spans="2:37" ht="15" customHeight="1" x14ac:dyDescent="0.3">
      <c r="D184" s="2" t="s">
        <v>273</v>
      </c>
      <c r="E184" s="212"/>
      <c r="F184" s="212"/>
      <c r="G184" s="212"/>
      <c r="H184" s="212"/>
      <c r="I184" s="212"/>
      <c r="J184" s="212"/>
      <c r="K184" s="212"/>
      <c r="L184" s="61"/>
      <c r="M184" s="61"/>
      <c r="N184" s="98" t="s">
        <v>136</v>
      </c>
      <c r="O184" s="212"/>
      <c r="P184" s="212"/>
      <c r="Q184" s="212"/>
      <c r="R184" s="212"/>
      <c r="S184" s="61"/>
      <c r="T184" s="61"/>
      <c r="U184" s="61"/>
      <c r="V184" s="98" t="s">
        <v>137</v>
      </c>
      <c r="W184" s="219"/>
      <c r="X184" s="219"/>
      <c r="Y184" s="219"/>
    </row>
    <row r="185" spans="2:37" ht="15" customHeight="1" x14ac:dyDescent="0.3">
      <c r="D185" s="2" t="s">
        <v>134</v>
      </c>
      <c r="E185" s="222"/>
      <c r="F185" s="222"/>
      <c r="G185" s="222"/>
      <c r="H185" s="222"/>
      <c r="I185" s="222"/>
      <c r="J185" s="222"/>
      <c r="K185" s="222"/>
      <c r="L185" s="222"/>
      <c r="M185" s="222"/>
      <c r="N185" s="222"/>
      <c r="O185" s="222"/>
      <c r="P185" s="222"/>
      <c r="Q185" s="222"/>
      <c r="R185" s="222"/>
      <c r="S185" s="222"/>
      <c r="T185" s="222"/>
      <c r="U185" s="222"/>
      <c r="V185" s="222"/>
      <c r="W185" s="222"/>
      <c r="X185" s="222"/>
      <c r="Y185" s="222"/>
    </row>
    <row r="186" spans="2:37" ht="15" customHeight="1" x14ac:dyDescent="0.3">
      <c r="D186" s="2" t="s">
        <v>138</v>
      </c>
      <c r="E186" s="223"/>
      <c r="F186" s="223"/>
      <c r="G186" s="223"/>
      <c r="H186" s="223"/>
      <c r="I186" s="223"/>
      <c r="U186" s="53"/>
      <c r="V186" s="53"/>
      <c r="W186" s="53"/>
    </row>
    <row r="187" spans="2:37" ht="15" customHeight="1" x14ac:dyDescent="0.3">
      <c r="D187" s="2"/>
      <c r="E187" s="61"/>
      <c r="F187" s="61"/>
      <c r="G187" s="61"/>
      <c r="H187" s="61"/>
      <c r="I187" s="61"/>
      <c r="U187" s="53"/>
      <c r="V187" s="53"/>
      <c r="W187" s="53"/>
    </row>
    <row r="188" spans="2:37" ht="15" customHeight="1" x14ac:dyDescent="0.3">
      <c r="D188" s="2" t="s">
        <v>172</v>
      </c>
      <c r="E188" s="78"/>
      <c r="F188" s="78"/>
      <c r="G188" s="78"/>
      <c r="H188" s="78"/>
      <c r="I188" s="78"/>
      <c r="J188" s="78"/>
      <c r="K188" s="78"/>
      <c r="L188" s="78"/>
      <c r="M188" s="78"/>
      <c r="N188" s="78"/>
      <c r="O188" s="78"/>
      <c r="P188" s="78"/>
      <c r="Q188" s="78"/>
      <c r="R188" s="78"/>
      <c r="S188" s="78"/>
      <c r="T188" s="78"/>
      <c r="U188" s="53"/>
      <c r="V188" s="53"/>
      <c r="W188" s="53"/>
      <c r="AB188" s="2" t="s">
        <v>168</v>
      </c>
      <c r="AC188" s="218"/>
      <c r="AD188" s="218"/>
      <c r="AE188" s="218"/>
      <c r="AF188" s="218"/>
      <c r="AG188" s="218"/>
    </row>
    <row r="189" spans="2:37" ht="15" customHeight="1" x14ac:dyDescent="0.3">
      <c r="AK189" s="28"/>
    </row>
    <row r="190" spans="2:37" ht="15" customHeight="1" x14ac:dyDescent="0.3">
      <c r="AK190" s="28"/>
    </row>
    <row r="191" spans="2:37" ht="15" customHeight="1" x14ac:dyDescent="0.3">
      <c r="AK191" s="28"/>
    </row>
    <row r="192" spans="2:37" ht="15" customHeight="1" x14ac:dyDescent="0.3">
      <c r="AK192" s="28"/>
    </row>
    <row r="193" spans="1:39" ht="15" customHeight="1" x14ac:dyDescent="0.3">
      <c r="AK193" s="28"/>
    </row>
    <row r="194" spans="1:39" ht="15" customHeight="1" x14ac:dyDescent="0.3">
      <c r="AK194" s="28"/>
    </row>
    <row r="195" spans="1:39" ht="15" customHeight="1" x14ac:dyDescent="0.3">
      <c r="AK195" s="28"/>
    </row>
    <row r="196" spans="1:39" ht="15" customHeight="1" x14ac:dyDescent="0.3">
      <c r="AJ196" s="28"/>
    </row>
    <row r="197" spans="1:39" ht="15" customHeight="1" x14ac:dyDescent="0.3">
      <c r="A197" s="194">
        <f>Tables!$F$13</f>
        <v>45931</v>
      </c>
      <c r="B197" s="194"/>
      <c r="C197" s="194"/>
      <c r="D197" s="194"/>
      <c r="E197" s="194"/>
      <c r="F197" s="194"/>
      <c r="G197" s="194"/>
      <c r="Q197" s="195" t="s">
        <v>344</v>
      </c>
      <c r="R197" s="195"/>
      <c r="S197" s="195"/>
      <c r="T197" s="195"/>
      <c r="AJ197" s="28"/>
    </row>
    <row r="198" spans="1:39" ht="15" customHeight="1" x14ac:dyDescent="0.3">
      <c r="B198" s="2" t="s">
        <v>1</v>
      </c>
      <c r="C198" s="192">
        <f>IF(ISBLANK($E$7),"",$E$7)</f>
        <v>0</v>
      </c>
      <c r="D198" s="192"/>
      <c r="E198" s="192"/>
      <c r="F198" s="192"/>
      <c r="G198" s="192"/>
      <c r="H198" s="192"/>
      <c r="I198" s="192"/>
      <c r="J198" s="192"/>
      <c r="K198" s="192"/>
      <c r="L198" s="192"/>
      <c r="M198" s="192"/>
      <c r="N198" s="192"/>
      <c r="O198" s="192"/>
      <c r="P198" s="192"/>
      <c r="Q198" s="192"/>
      <c r="R198" s="192"/>
      <c r="S198" s="192"/>
      <c r="T198" s="192"/>
      <c r="U198" s="192"/>
      <c r="V198" s="192"/>
      <c r="W198" s="192"/>
      <c r="X198" s="192"/>
      <c r="Y198" s="192"/>
      <c r="Z198" s="33"/>
      <c r="AA198" s="33"/>
      <c r="AB198" s="33"/>
      <c r="AE198" s="2" t="s">
        <v>21</v>
      </c>
      <c r="AF198" s="217">
        <f>$AF$7</f>
        <v>0</v>
      </c>
      <c r="AG198" s="217"/>
      <c r="AH198" s="217"/>
      <c r="AI198" s="217"/>
      <c r="AJ198" s="217"/>
    </row>
    <row r="199" spans="1:39" ht="15" customHeight="1" x14ac:dyDescent="0.3">
      <c r="G199" s="34"/>
      <c r="H199" s="34"/>
      <c r="I199" s="2"/>
      <c r="J199" s="2"/>
      <c r="K199" s="2"/>
      <c r="L199" s="34"/>
      <c r="M199" s="33"/>
      <c r="N199" s="33"/>
      <c r="O199" s="33"/>
      <c r="P199" s="33"/>
      <c r="Q199" s="33"/>
      <c r="R199" s="33"/>
      <c r="S199" s="33"/>
      <c r="T199" s="33"/>
      <c r="U199" s="33"/>
      <c r="V199" s="33"/>
      <c r="W199" s="33"/>
      <c r="X199" s="33"/>
      <c r="Y199" s="33"/>
      <c r="Z199" s="33"/>
      <c r="AA199" s="33"/>
      <c r="AB199" s="33"/>
      <c r="AE199" s="2" t="s">
        <v>34</v>
      </c>
      <c r="AF199" s="243">
        <f>IF(ISBLANK($AF$8),"",$AF$8)</f>
        <v>0</v>
      </c>
      <c r="AG199" s="243"/>
      <c r="AH199" s="243"/>
      <c r="AI199" s="243"/>
      <c r="AJ199" s="243"/>
    </row>
    <row r="200" spans="1:39" ht="15" customHeight="1" x14ac:dyDescent="0.3">
      <c r="AK200" s="28"/>
    </row>
    <row r="201" spans="1:39" ht="15" customHeight="1" x14ac:dyDescent="0.3">
      <c r="A201" s="38" t="s">
        <v>85</v>
      </c>
      <c r="B201" s="56"/>
      <c r="C201" s="56"/>
      <c r="D201" s="56"/>
      <c r="E201" s="56"/>
      <c r="F201" s="56"/>
      <c r="G201" s="56"/>
      <c r="H201" s="39"/>
      <c r="I201" s="39"/>
      <c r="J201" s="39"/>
      <c r="K201" s="39"/>
      <c r="L201" s="39"/>
      <c r="M201" s="39"/>
      <c r="N201" s="39"/>
      <c r="O201" s="39"/>
      <c r="P201" s="39"/>
      <c r="Q201" s="39"/>
      <c r="R201" s="39"/>
      <c r="S201" s="39"/>
      <c r="T201" s="39"/>
      <c r="U201" s="39"/>
      <c r="V201" s="39"/>
      <c r="W201" s="39"/>
      <c r="X201" s="39"/>
      <c r="Y201" s="39"/>
      <c r="Z201" s="39"/>
      <c r="AA201" s="39"/>
      <c r="AB201" s="39"/>
      <c r="AC201" s="39"/>
      <c r="AD201" s="39"/>
      <c r="AE201" s="121" t="s">
        <v>330</v>
      </c>
      <c r="AF201" s="262">
        <f>'Form 2F.1 - Design'!AE7</f>
        <v>0</v>
      </c>
      <c r="AG201" s="262"/>
      <c r="AH201" s="262"/>
      <c r="AI201" s="262"/>
      <c r="AJ201" s="262"/>
      <c r="AK201" s="262"/>
      <c r="AL201" s="40"/>
      <c r="AM201" s="20" t="s">
        <v>274</v>
      </c>
    </row>
    <row r="202" spans="1:39" ht="15" customHeight="1" x14ac:dyDescent="0.3">
      <c r="A202" s="41"/>
      <c r="B202" s="7"/>
      <c r="C202" s="7"/>
      <c r="D202" s="7"/>
      <c r="E202" s="7"/>
      <c r="F202" s="7"/>
      <c r="G202" s="7"/>
      <c r="H202" s="7"/>
      <c r="I202" s="7"/>
      <c r="J202" s="42" t="s">
        <v>86</v>
      </c>
      <c r="K202" s="42"/>
      <c r="L202" s="43" t="s">
        <v>185</v>
      </c>
      <c r="M202" s="42"/>
      <c r="N202" s="43"/>
      <c r="O202" s="43"/>
      <c r="P202" s="43"/>
      <c r="Q202" s="7"/>
      <c r="R202" s="7"/>
      <c r="S202" s="7"/>
      <c r="T202" s="7"/>
      <c r="U202" s="7"/>
      <c r="V202" s="7"/>
      <c r="W202" s="7"/>
      <c r="X202" s="7"/>
      <c r="Y202" s="7"/>
      <c r="Z202" s="7"/>
      <c r="AA202" s="7"/>
      <c r="AB202" s="7"/>
      <c r="AC202" s="7"/>
      <c r="AD202" s="7"/>
      <c r="AE202" s="7"/>
      <c r="AF202" s="7"/>
      <c r="AG202" s="7"/>
      <c r="AH202" s="7"/>
      <c r="AI202" s="7"/>
      <c r="AJ202" s="7"/>
      <c r="AK202" s="7"/>
      <c r="AL202" s="44"/>
      <c r="AM202" s="89">
        <f>SUM(AM204:AM218)</f>
        <v>13</v>
      </c>
    </row>
    <row r="203" spans="1:39" ht="15" customHeight="1" x14ac:dyDescent="0.3">
      <c r="A203" s="41"/>
      <c r="B203" s="7"/>
      <c r="C203" s="7"/>
      <c r="D203" s="7"/>
      <c r="E203" s="7"/>
      <c r="F203" s="7"/>
      <c r="G203" s="7"/>
      <c r="H203" s="7"/>
      <c r="I203" s="7"/>
      <c r="J203" s="8"/>
      <c r="K203" s="42"/>
      <c r="L203" s="7"/>
      <c r="M203" s="42"/>
      <c r="N203" s="43"/>
      <c r="O203" s="43"/>
      <c r="P203" s="43"/>
      <c r="Q203" s="7"/>
      <c r="R203" s="7"/>
      <c r="S203" s="7"/>
      <c r="T203" s="7"/>
      <c r="U203" s="7"/>
      <c r="V203" s="7"/>
      <c r="W203" s="7"/>
      <c r="X203" s="7"/>
      <c r="Y203" s="7"/>
      <c r="Z203" s="7"/>
      <c r="AA203" s="7"/>
      <c r="AB203" s="7"/>
      <c r="AC203" s="7"/>
      <c r="AD203" s="7"/>
      <c r="AE203" s="7"/>
      <c r="AF203" s="7"/>
      <c r="AG203" s="7"/>
      <c r="AH203" s="7"/>
      <c r="AI203" s="7"/>
      <c r="AJ203" s="7"/>
      <c r="AK203" s="7"/>
      <c r="AL203" s="44"/>
      <c r="AM203" s="89"/>
    </row>
    <row r="204" spans="1:39" ht="15" customHeight="1" x14ac:dyDescent="0.3">
      <c r="A204" s="41"/>
      <c r="B204" s="7"/>
      <c r="C204" s="7"/>
      <c r="D204" s="7"/>
      <c r="E204" s="7"/>
      <c r="F204" s="7"/>
      <c r="G204" s="7"/>
      <c r="H204" s="7"/>
      <c r="I204" s="7"/>
      <c r="J204" s="92" t="s">
        <v>446</v>
      </c>
      <c r="K204" s="8"/>
      <c r="L204" s="7"/>
      <c r="M204" s="8"/>
      <c r="N204" s="7"/>
      <c r="O204" s="7"/>
      <c r="P204" s="7"/>
      <c r="Q204" s="7"/>
      <c r="R204" s="7"/>
      <c r="S204" s="7"/>
      <c r="T204" s="7"/>
      <c r="U204" s="7"/>
      <c r="V204" s="7"/>
      <c r="W204" s="7"/>
      <c r="X204" s="7"/>
      <c r="Y204" s="7"/>
      <c r="Z204" s="7"/>
      <c r="AA204" s="7"/>
      <c r="AB204" s="7"/>
      <c r="AC204" s="7"/>
      <c r="AD204" s="7"/>
      <c r="AE204" s="7"/>
      <c r="AF204" s="7"/>
      <c r="AG204" s="7"/>
      <c r="AH204" s="7"/>
      <c r="AI204" s="7"/>
      <c r="AJ204" s="7"/>
      <c r="AK204" s="7"/>
      <c r="AL204" s="44"/>
      <c r="AM204" s="89">
        <f>IF(L204="",0,1)</f>
        <v>0</v>
      </c>
    </row>
    <row r="205" spans="1:39" ht="15" customHeight="1" x14ac:dyDescent="0.3">
      <c r="A205" s="41"/>
      <c r="B205" s="7"/>
      <c r="C205" s="7"/>
      <c r="D205" s="7"/>
      <c r="E205" s="7"/>
      <c r="F205" s="7"/>
      <c r="G205" s="7"/>
      <c r="H205" s="7"/>
      <c r="I205" s="7"/>
      <c r="J205" s="8" t="s">
        <v>243</v>
      </c>
      <c r="K205" s="8"/>
      <c r="L205" s="7" t="str">
        <f>IF(ISBLANK(AH50),Tables!J13,IF(AH50&gt;96,Tables!J13,""))</f>
        <v>Drain time exceeds the recommended 96 hours</v>
      </c>
      <c r="M205" s="8"/>
      <c r="N205" s="7"/>
      <c r="O205" s="7"/>
      <c r="P205" s="7"/>
      <c r="Q205" s="7"/>
      <c r="R205" s="7"/>
      <c r="S205" s="7"/>
      <c r="T205" s="7"/>
      <c r="U205" s="7"/>
      <c r="V205" s="7"/>
      <c r="W205" s="7"/>
      <c r="X205" s="7"/>
      <c r="Y205" s="7"/>
      <c r="Z205" s="7"/>
      <c r="AA205" s="7"/>
      <c r="AB205" s="7"/>
      <c r="AC205" s="7"/>
      <c r="AD205" s="7"/>
      <c r="AE205" s="7"/>
      <c r="AF205" s="7"/>
      <c r="AG205" s="7"/>
      <c r="AH205" s="7"/>
      <c r="AI205" s="7"/>
      <c r="AJ205" s="7"/>
      <c r="AK205" s="7"/>
      <c r="AL205" s="44"/>
      <c r="AM205" s="89">
        <f t="shared" ref="AM205:AM216" si="12">IF(L205="",0,1)</f>
        <v>1</v>
      </c>
    </row>
    <row r="206" spans="1:39" ht="15" customHeight="1" x14ac:dyDescent="0.3">
      <c r="A206" s="41"/>
      <c r="B206" s="7"/>
      <c r="C206" s="7"/>
      <c r="D206" s="7"/>
      <c r="E206" s="7"/>
      <c r="F206" s="7"/>
      <c r="G206" s="7"/>
      <c r="H206" s="7"/>
      <c r="I206" s="7"/>
      <c r="J206" s="8" t="s">
        <v>244</v>
      </c>
      <c r="K206" s="8"/>
      <c r="L206" s="7" t="str">
        <f>IF(ISBLANK(AH51),Tables!J14,IF(AH51&gt;12,Tables!J14,""))</f>
        <v>Drain time exceeds the recommended 12 hours</v>
      </c>
      <c r="M206" s="8"/>
      <c r="N206" s="7"/>
      <c r="O206" s="7"/>
      <c r="P206" s="7"/>
      <c r="Q206" s="7"/>
      <c r="R206" s="7"/>
      <c r="S206" s="7"/>
      <c r="T206" s="7"/>
      <c r="U206" s="7"/>
      <c r="V206" s="7"/>
      <c r="W206" s="7"/>
      <c r="X206" s="7"/>
      <c r="Y206" s="7"/>
      <c r="Z206" s="7"/>
      <c r="AA206" s="7"/>
      <c r="AB206" s="7"/>
      <c r="AC206" s="7"/>
      <c r="AD206" s="7"/>
      <c r="AE206" s="7"/>
      <c r="AF206" s="7"/>
      <c r="AG206" s="7"/>
      <c r="AH206" s="7"/>
      <c r="AI206" s="7"/>
      <c r="AJ206" s="7"/>
      <c r="AK206" s="7"/>
      <c r="AL206" s="44"/>
      <c r="AM206" s="89">
        <f t="shared" si="12"/>
        <v>1</v>
      </c>
    </row>
    <row r="207" spans="1:39" ht="15" customHeight="1" x14ac:dyDescent="0.3">
      <c r="A207" s="41"/>
      <c r="B207" s="7"/>
      <c r="C207" s="7"/>
      <c r="D207" s="7"/>
      <c r="E207" s="7"/>
      <c r="F207" s="7"/>
      <c r="G207" s="7"/>
      <c r="H207" s="7"/>
      <c r="I207" s="7"/>
      <c r="J207" s="8" t="s">
        <v>89</v>
      </c>
      <c r="K207" s="8"/>
      <c r="L207" s="7" t="str">
        <f>IF(AP57&gt;1,Tables!J4,IF(AP57=0,"",IF(AP59&lt;6,Tables!J4,"")))</f>
        <v>Emergency Spillway Section not completed</v>
      </c>
      <c r="M207" s="8"/>
      <c r="N207" s="7"/>
      <c r="O207" s="7"/>
      <c r="P207" s="7"/>
      <c r="Q207" s="7"/>
      <c r="R207" s="7"/>
      <c r="S207" s="7"/>
      <c r="T207" s="7"/>
      <c r="U207" s="7"/>
      <c r="V207" s="7"/>
      <c r="W207" s="7"/>
      <c r="X207" s="7"/>
      <c r="Y207" s="7"/>
      <c r="Z207" s="7"/>
      <c r="AA207" s="7"/>
      <c r="AB207" s="7"/>
      <c r="AC207" s="7"/>
      <c r="AD207" s="7"/>
      <c r="AE207" s="7"/>
      <c r="AF207" s="7"/>
      <c r="AG207" s="7"/>
      <c r="AH207" s="7"/>
      <c r="AI207" s="7"/>
      <c r="AJ207" s="7"/>
      <c r="AK207" s="7"/>
      <c r="AL207" s="44"/>
      <c r="AM207" s="89">
        <f t="shared" si="12"/>
        <v>1</v>
      </c>
    </row>
    <row r="208" spans="1:39" ht="15" customHeight="1" x14ac:dyDescent="0.3">
      <c r="A208" s="41"/>
      <c r="B208" s="7"/>
      <c r="C208" s="7"/>
      <c r="D208" s="7"/>
      <c r="E208" s="7"/>
      <c r="F208" s="7"/>
      <c r="G208" s="7"/>
      <c r="H208" s="7"/>
      <c r="I208" s="7"/>
      <c r="J208" s="8" t="s">
        <v>112</v>
      </c>
      <c r="K208" s="8"/>
      <c r="L208" s="7" t="str">
        <f>IF(AP65&lt;2,Tables!J8,"")</f>
        <v>Latitude and/or Longitude not provided</v>
      </c>
      <c r="M208" s="8"/>
      <c r="N208" s="8"/>
      <c r="O208" s="7"/>
      <c r="P208" s="7"/>
      <c r="Q208" s="7"/>
      <c r="R208" s="7"/>
      <c r="S208" s="7"/>
      <c r="T208" s="7"/>
      <c r="U208" s="7"/>
      <c r="V208" s="7"/>
      <c r="W208" s="7"/>
      <c r="X208" s="7"/>
      <c r="Y208" s="7"/>
      <c r="Z208" s="7"/>
      <c r="AA208" s="7"/>
      <c r="AB208" s="7"/>
      <c r="AC208" s="7"/>
      <c r="AD208" s="7"/>
      <c r="AE208" s="7"/>
      <c r="AF208" s="7"/>
      <c r="AG208" s="7"/>
      <c r="AH208" s="7"/>
      <c r="AI208" s="7"/>
      <c r="AJ208" s="7"/>
      <c r="AK208" s="7"/>
      <c r="AL208" s="44"/>
      <c r="AM208" s="89">
        <f t="shared" si="12"/>
        <v>1</v>
      </c>
    </row>
    <row r="209" spans="1:39" ht="15" customHeight="1" x14ac:dyDescent="0.3">
      <c r="A209" s="41"/>
      <c r="B209" s="7"/>
      <c r="C209" s="7"/>
      <c r="D209" s="7"/>
      <c r="E209" s="7"/>
      <c r="F209" s="7"/>
      <c r="G209" s="7"/>
      <c r="H209" s="7"/>
      <c r="I209" s="7"/>
      <c r="J209" s="8"/>
      <c r="K209" s="8"/>
      <c r="L209" s="7" t="str">
        <f>IF(AND(AS65=1,AS66=1),Tables!$J$17,IF(OR(AS65=3,AS66=3),Tables!$J$17,""))</f>
        <v>Latitude and/or Longitude has been entered as text.  Change to a number.</v>
      </c>
      <c r="M209" s="8"/>
      <c r="N209" s="8"/>
      <c r="O209" s="7"/>
      <c r="P209" s="7"/>
      <c r="Q209" s="7"/>
      <c r="R209" s="7"/>
      <c r="S209" s="7"/>
      <c r="T209" s="7"/>
      <c r="U209" s="7"/>
      <c r="V209" s="7"/>
      <c r="W209" s="7"/>
      <c r="X209" s="7"/>
      <c r="Y209" s="7"/>
      <c r="Z209" s="7"/>
      <c r="AA209" s="7"/>
      <c r="AB209" s="7"/>
      <c r="AC209" s="7"/>
      <c r="AD209" s="7"/>
      <c r="AE209" s="7"/>
      <c r="AF209" s="7"/>
      <c r="AG209" s="7"/>
      <c r="AH209" s="7"/>
      <c r="AI209" s="7"/>
      <c r="AJ209" s="7"/>
      <c r="AK209" s="7"/>
      <c r="AL209" s="44"/>
      <c r="AM209" s="89">
        <f t="shared" si="12"/>
        <v>1</v>
      </c>
    </row>
    <row r="210" spans="1:39" ht="15" customHeight="1" x14ac:dyDescent="0.3">
      <c r="A210" s="41"/>
      <c r="B210" s="7"/>
      <c r="C210" s="7"/>
      <c r="D210" s="7"/>
      <c r="E210" s="7"/>
      <c r="F210" s="7"/>
      <c r="G210" s="7"/>
      <c r="H210" s="7"/>
      <c r="I210" s="7"/>
      <c r="J210" s="8" t="s">
        <v>145</v>
      </c>
      <c r="K210" s="8"/>
      <c r="L210" s="7" t="str">
        <f>IF(AO105=2,Tables!J9,IF(AN105=1,"",Tables!J9))</f>
        <v>WQv Required &gt; WQv Provided</v>
      </c>
      <c r="M210" s="8"/>
      <c r="N210" s="8"/>
      <c r="O210" s="7"/>
      <c r="P210" s="7"/>
      <c r="Q210" s="7"/>
      <c r="R210" s="7"/>
      <c r="S210" s="7"/>
      <c r="T210" s="7"/>
      <c r="U210" s="7"/>
      <c r="V210" s="7"/>
      <c r="W210" s="7"/>
      <c r="X210" s="7"/>
      <c r="Y210" s="7"/>
      <c r="Z210" s="7"/>
      <c r="AA210" s="7"/>
      <c r="AB210" s="7"/>
      <c r="AC210" s="7"/>
      <c r="AD210" s="7"/>
      <c r="AE210" s="7"/>
      <c r="AF210" s="7"/>
      <c r="AG210" s="7"/>
      <c r="AH210" s="7"/>
      <c r="AI210" s="7"/>
      <c r="AJ210" s="7"/>
      <c r="AK210" s="7"/>
      <c r="AL210" s="44"/>
      <c r="AM210" s="89">
        <f t="shared" si="12"/>
        <v>1</v>
      </c>
    </row>
    <row r="211" spans="1:39" ht="15" customHeight="1" x14ac:dyDescent="0.3">
      <c r="A211" s="41"/>
      <c r="B211" s="7"/>
      <c r="C211" s="7"/>
      <c r="D211" s="7"/>
      <c r="E211" s="7"/>
      <c r="F211" s="7"/>
      <c r="G211" s="7"/>
      <c r="H211" s="7"/>
      <c r="I211" s="7"/>
      <c r="J211" s="92" t="s">
        <v>209</v>
      </c>
      <c r="K211" s="8"/>
      <c r="L211" s="7"/>
      <c r="M211" s="8"/>
      <c r="N211" s="8"/>
      <c r="O211" s="7"/>
      <c r="P211" s="7"/>
      <c r="Q211" s="7"/>
      <c r="R211" s="7"/>
      <c r="S211" s="7"/>
      <c r="T211" s="7"/>
      <c r="U211" s="7"/>
      <c r="V211" s="7"/>
      <c r="W211" s="7"/>
      <c r="X211" s="7"/>
      <c r="Y211" s="7"/>
      <c r="Z211" s="7"/>
      <c r="AA211" s="7"/>
      <c r="AB211" s="7"/>
      <c r="AC211" s="7"/>
      <c r="AD211" s="7"/>
      <c r="AE211" s="7"/>
      <c r="AF211" s="7"/>
      <c r="AG211" s="7"/>
      <c r="AH211" s="7"/>
      <c r="AI211" s="7"/>
      <c r="AJ211" s="7"/>
      <c r="AK211" s="7"/>
      <c r="AL211" s="44"/>
      <c r="AM211" s="89">
        <f t="shared" si="12"/>
        <v>0</v>
      </c>
    </row>
    <row r="212" spans="1:39" ht="15" customHeight="1" x14ac:dyDescent="0.3">
      <c r="A212" s="41"/>
      <c r="B212" s="7"/>
      <c r="C212" s="7"/>
      <c r="D212" s="7"/>
      <c r="E212" s="7"/>
      <c r="F212" s="7"/>
      <c r="G212" s="7"/>
      <c r="H212" s="7"/>
      <c r="I212" s="7"/>
      <c r="J212" s="8" t="s">
        <v>150</v>
      </c>
      <c r="K212" s="8"/>
      <c r="L212" s="7" t="str">
        <f>IF(AM115&gt;0,Tables!J10,"")</f>
        <v>As-Built does not match Design, provide a reason in the Comments section</v>
      </c>
      <c r="M212" s="8"/>
      <c r="N212" s="8"/>
      <c r="O212" s="7"/>
      <c r="P212" s="7"/>
      <c r="Q212" s="7"/>
      <c r="R212" s="7"/>
      <c r="S212" s="7"/>
      <c r="T212" s="7"/>
      <c r="U212" s="7"/>
      <c r="V212" s="7"/>
      <c r="W212" s="7"/>
      <c r="X212" s="7"/>
      <c r="Y212" s="7"/>
      <c r="Z212" s="7"/>
      <c r="AA212" s="7"/>
      <c r="AB212" s="7"/>
      <c r="AC212" s="7"/>
      <c r="AD212" s="7"/>
      <c r="AE212" s="7"/>
      <c r="AF212" s="7"/>
      <c r="AG212" s="7"/>
      <c r="AH212" s="7"/>
      <c r="AI212" s="7"/>
      <c r="AJ212" s="7"/>
      <c r="AK212" s="7"/>
      <c r="AL212" s="44"/>
      <c r="AM212" s="89">
        <f t="shared" si="12"/>
        <v>1</v>
      </c>
    </row>
    <row r="213" spans="1:39" ht="15" customHeight="1" x14ac:dyDescent="0.3">
      <c r="A213" s="41"/>
      <c r="B213" s="7"/>
      <c r="C213" s="7"/>
      <c r="D213" s="7"/>
      <c r="E213" s="7"/>
      <c r="F213" s="7"/>
      <c r="G213" s="7"/>
      <c r="H213" s="7"/>
      <c r="I213" s="7"/>
      <c r="J213" s="8" t="s">
        <v>84</v>
      </c>
      <c r="K213" s="8"/>
      <c r="L213" s="7" t="str">
        <f>IF(AO115=0,"",Tables!J7)</f>
        <v>Max Stage for 2, 5, 10, 25, and/or 50-year storm  &gt; emergency spillway crest elevation</v>
      </c>
      <c r="M213" s="8"/>
      <c r="N213" s="8"/>
      <c r="O213" s="7"/>
      <c r="P213" s="7"/>
      <c r="Q213" s="7"/>
      <c r="R213" s="7"/>
      <c r="S213" s="7"/>
      <c r="T213" s="7"/>
      <c r="U213" s="7"/>
      <c r="V213" s="7"/>
      <c r="W213" s="7"/>
      <c r="X213" s="7"/>
      <c r="Y213" s="7"/>
      <c r="Z213" s="7"/>
      <c r="AA213" s="7"/>
      <c r="AB213" s="7"/>
      <c r="AC213" s="7"/>
      <c r="AD213" s="7"/>
      <c r="AE213" s="7"/>
      <c r="AF213" s="7"/>
      <c r="AG213" s="7"/>
      <c r="AH213" s="7"/>
      <c r="AI213" s="7"/>
      <c r="AJ213" s="7"/>
      <c r="AK213" s="7"/>
      <c r="AL213" s="44"/>
      <c r="AM213" s="89">
        <f t="shared" si="12"/>
        <v>1</v>
      </c>
    </row>
    <row r="214" spans="1:39" ht="15" customHeight="1" x14ac:dyDescent="0.3">
      <c r="A214" s="41"/>
      <c r="B214" s="7"/>
      <c r="C214" s="7"/>
      <c r="D214" s="7"/>
      <c r="E214" s="7"/>
      <c r="F214" s="7"/>
      <c r="G214" s="7"/>
      <c r="H214" s="7"/>
      <c r="I214" s="7"/>
      <c r="J214" s="8" t="s">
        <v>248</v>
      </c>
      <c r="K214" s="8"/>
      <c r="L214" s="7" t="str">
        <f>IF(AP115&gt;0,Tables!J6,"")</f>
        <v>Velocity &gt; 6 ft/s</v>
      </c>
      <c r="M214" s="8"/>
      <c r="N214" s="8"/>
      <c r="O214" s="7"/>
      <c r="P214" s="7"/>
      <c r="Q214" s="7"/>
      <c r="R214" s="7"/>
      <c r="S214" s="7"/>
      <c r="T214" s="7"/>
      <c r="U214" s="7"/>
      <c r="V214" s="7"/>
      <c r="W214" s="7"/>
      <c r="X214" s="7"/>
      <c r="Y214" s="7"/>
      <c r="Z214" s="7"/>
      <c r="AA214" s="7"/>
      <c r="AB214" s="7"/>
      <c r="AC214" s="7"/>
      <c r="AD214" s="7"/>
      <c r="AE214" s="7"/>
      <c r="AF214" s="7"/>
      <c r="AG214" s="7"/>
      <c r="AH214" s="7"/>
      <c r="AI214" s="7"/>
      <c r="AJ214" s="7"/>
      <c r="AK214" s="7"/>
      <c r="AL214" s="44"/>
      <c r="AM214" s="89">
        <f t="shared" si="12"/>
        <v>1</v>
      </c>
    </row>
    <row r="215" spans="1:39" ht="15" customHeight="1" x14ac:dyDescent="0.3">
      <c r="A215" s="41"/>
      <c r="B215" s="7"/>
      <c r="C215" s="7"/>
      <c r="D215" s="7"/>
      <c r="E215" s="7"/>
      <c r="F215" s="7"/>
      <c r="G215" s="7"/>
      <c r="H215" s="7"/>
      <c r="I215" s="7"/>
      <c r="J215" s="8" t="s">
        <v>90</v>
      </c>
      <c r="K215" s="8"/>
      <c r="L215" s="7" t="str">
        <f>IF(OR(AQ115&gt;0,AS115&gt;0),Tables!J5,"")</f>
        <v>Total Post Q &gt; Pre Q</v>
      </c>
      <c r="M215" s="8"/>
      <c r="N215" s="8"/>
      <c r="O215" s="7"/>
      <c r="P215" s="7"/>
      <c r="Q215" s="7"/>
      <c r="R215" s="7"/>
      <c r="S215" s="7"/>
      <c r="T215" s="7"/>
      <c r="U215" s="7"/>
      <c r="V215" s="7"/>
      <c r="W215" s="7"/>
      <c r="X215" s="7"/>
      <c r="Y215" s="7"/>
      <c r="Z215" s="7"/>
      <c r="AA215" s="7"/>
      <c r="AB215" s="7"/>
      <c r="AC215" s="7"/>
      <c r="AD215" s="7"/>
      <c r="AE215" s="7"/>
      <c r="AF215" s="7"/>
      <c r="AG215" s="7"/>
      <c r="AH215" s="7"/>
      <c r="AI215" s="7"/>
      <c r="AJ215" s="7"/>
      <c r="AK215" s="7"/>
      <c r="AL215" s="44"/>
      <c r="AM215" s="89">
        <f t="shared" si="12"/>
        <v>1</v>
      </c>
    </row>
    <row r="216" spans="1:39" ht="15" customHeight="1" x14ac:dyDescent="0.3">
      <c r="A216" s="41"/>
      <c r="B216" s="7"/>
      <c r="C216" s="7"/>
      <c r="D216" s="7"/>
      <c r="E216" s="7"/>
      <c r="F216" s="7"/>
      <c r="G216" s="7"/>
      <c r="H216" s="7"/>
      <c r="I216" s="7"/>
      <c r="J216" s="8"/>
      <c r="K216" s="8"/>
      <c r="L216" s="7" t="str">
        <f>IF(AND(ISBLANK('Form 2F.1 - Design'!$C$161),ISBLANK('Form 2F.1 - Design'!$F$161)),Tables!$J$18,IF(AND('Form 3F - As-built'!$AQ$115&gt;0,'Form 3F - As-built'!$AP$110=2),Tables!$J$18,""))</f>
        <v>Known flooding:  2, 5, 10, 25, 50, and 100-yr discharge &gt; 2, 5, 10, 25, 50, and 100-yr discharge</v>
      </c>
      <c r="M216" s="8"/>
      <c r="N216" s="8"/>
      <c r="O216" s="7"/>
      <c r="P216" s="7"/>
      <c r="Q216" s="7"/>
      <c r="R216" s="7"/>
      <c r="S216" s="7"/>
      <c r="T216" s="7"/>
      <c r="U216" s="7"/>
      <c r="V216" s="7"/>
      <c r="W216" s="7"/>
      <c r="X216" s="7"/>
      <c r="Y216" s="7"/>
      <c r="Z216" s="7"/>
      <c r="AA216" s="7"/>
      <c r="AB216" s="7"/>
      <c r="AC216" s="7"/>
      <c r="AD216" s="7"/>
      <c r="AE216" s="7"/>
      <c r="AF216" s="7"/>
      <c r="AG216" s="7"/>
      <c r="AH216" s="7"/>
      <c r="AI216" s="7"/>
      <c r="AJ216" s="7"/>
      <c r="AK216" s="7"/>
      <c r="AL216" s="44"/>
      <c r="AM216" s="89">
        <f t="shared" si="12"/>
        <v>1</v>
      </c>
    </row>
    <row r="217" spans="1:39" ht="15" customHeight="1" x14ac:dyDescent="0.3">
      <c r="A217" s="41"/>
      <c r="B217" s="7"/>
      <c r="C217" s="7"/>
      <c r="D217" s="7"/>
      <c r="E217" s="7"/>
      <c r="F217" s="7"/>
      <c r="G217" s="7"/>
      <c r="H217" s="7"/>
      <c r="I217" s="7"/>
      <c r="J217" s="8"/>
      <c r="K217" s="8"/>
      <c r="L217" s="7" t="str">
        <f>IF(AND(ISBLANK('Form 2F.1 - Design'!$C$163),ISBLANK('Form 2F.1 - Design'!$F$163)),Tables!$J$19,IF(AND('Form 3F - As-built'!$AR$115&gt;0,'Form 3F - As-built'!$AP$111=2),Tables!$J$19,""))</f>
        <v>Drains to adjacent property:  2, 5, 10, 25, 50, and 100-yr discharge &gt; 2, 5, 10, 25, 50, and 100-yr discharge</v>
      </c>
      <c r="M217" s="8"/>
      <c r="N217" s="8"/>
      <c r="O217" s="7"/>
      <c r="P217" s="7"/>
      <c r="Q217" s="7"/>
      <c r="R217" s="7"/>
      <c r="S217" s="7"/>
      <c r="T217" s="7"/>
      <c r="U217" s="7"/>
      <c r="V217" s="7"/>
      <c r="W217" s="7"/>
      <c r="X217" s="7"/>
      <c r="Y217" s="7"/>
      <c r="Z217" s="7"/>
      <c r="AA217" s="7"/>
      <c r="AB217" s="7"/>
      <c r="AC217" s="7"/>
      <c r="AD217" s="7"/>
      <c r="AE217" s="7"/>
      <c r="AF217" s="7"/>
      <c r="AG217" s="7"/>
      <c r="AH217" s="7"/>
      <c r="AI217" s="7"/>
      <c r="AJ217" s="7"/>
      <c r="AK217" s="7"/>
      <c r="AL217" s="44"/>
      <c r="AM217" s="89">
        <f>IF(L217="",0,1)</f>
        <v>1</v>
      </c>
    </row>
    <row r="218" spans="1:39" ht="15" customHeight="1" x14ac:dyDescent="0.3">
      <c r="A218" s="45"/>
      <c r="B218" s="46"/>
      <c r="C218" s="46"/>
      <c r="D218" s="46"/>
      <c r="E218" s="46"/>
      <c r="F218" s="46"/>
      <c r="G218" s="46"/>
      <c r="H218" s="46"/>
      <c r="I218" s="46"/>
      <c r="J218" s="109" t="s">
        <v>347</v>
      </c>
      <c r="K218" s="47"/>
      <c r="L218" s="110" t="str">
        <f>IF(OR(AM150=11,AM150&lt;22),Tables!J20,IF(AP150&gt;0,Tables!J20,0))</f>
        <v>All required photographs are not provided</v>
      </c>
      <c r="M218" s="47"/>
      <c r="N218" s="47"/>
      <c r="O218" s="46"/>
      <c r="P218" s="46"/>
      <c r="Q218" s="46"/>
      <c r="R218" s="46"/>
      <c r="S218" s="46"/>
      <c r="T218" s="46"/>
      <c r="U218" s="46"/>
      <c r="V218" s="46"/>
      <c r="W218" s="46"/>
      <c r="X218" s="46"/>
      <c r="Y218" s="46"/>
      <c r="Z218" s="46"/>
      <c r="AA218" s="46"/>
      <c r="AB218" s="46"/>
      <c r="AC218" s="46"/>
      <c r="AD218" s="46"/>
      <c r="AE218" s="46"/>
      <c r="AF218" s="46"/>
      <c r="AG218" s="46"/>
      <c r="AH218" s="46"/>
      <c r="AI218" s="46"/>
      <c r="AJ218" s="46"/>
      <c r="AK218" s="46"/>
      <c r="AL218" s="48"/>
      <c r="AM218" s="89">
        <f>IF(L218="",0,1)</f>
        <v>1</v>
      </c>
    </row>
    <row r="219" spans="1:39" ht="15" customHeight="1" x14ac:dyDescent="0.3"/>
    <row r="220" spans="1:39" ht="15" customHeight="1" x14ac:dyDescent="0.3"/>
    <row r="221" spans="1:39" ht="15" customHeight="1" x14ac:dyDescent="0.3"/>
    <row r="222" spans="1:39" ht="15" customHeight="1" x14ac:dyDescent="0.3"/>
    <row r="223" spans="1:39" ht="15" customHeight="1" x14ac:dyDescent="0.3"/>
    <row r="224" spans="1:39" ht="15" customHeight="1" x14ac:dyDescent="0.3"/>
    <row r="225" spans="2:37" ht="15" customHeight="1" x14ac:dyDescent="0.3"/>
    <row r="226" spans="2:37" ht="15" customHeight="1" x14ac:dyDescent="0.3"/>
    <row r="227" spans="2:37" ht="15" customHeight="1" x14ac:dyDescent="0.3"/>
    <row r="228" spans="2:37" ht="15" customHeight="1" x14ac:dyDescent="0.3"/>
    <row r="229" spans="2:37" ht="15" customHeight="1" x14ac:dyDescent="0.3"/>
    <row r="230" spans="2:37" ht="15" customHeight="1" x14ac:dyDescent="0.3"/>
    <row r="231" spans="2:37" ht="15" customHeight="1" x14ac:dyDescent="0.3"/>
    <row r="232" spans="2:37" ht="15" customHeight="1" x14ac:dyDescent="0.3"/>
    <row r="233" spans="2:37" ht="15" customHeight="1" x14ac:dyDescent="0.3"/>
    <row r="234" spans="2:37" ht="15" customHeight="1" x14ac:dyDescent="0.3"/>
    <row r="235" spans="2:37" ht="15" customHeight="1" x14ac:dyDescent="0.3"/>
    <row r="236" spans="2:37" ht="15" customHeight="1" x14ac:dyDescent="0.3"/>
    <row r="237" spans="2:37" ht="15" customHeight="1" x14ac:dyDescent="0.3"/>
    <row r="238" spans="2:37" ht="15" customHeight="1" x14ac:dyDescent="0.3"/>
    <row r="239" spans="2:37" ht="15" customHeight="1" x14ac:dyDescent="0.3">
      <c r="AK239" s="28"/>
    </row>
    <row r="240" spans="2:37" ht="15" customHeight="1" x14ac:dyDescent="0.3">
      <c r="B240" s="194">
        <f>Tables!$F$13</f>
        <v>45931</v>
      </c>
      <c r="C240" s="194"/>
      <c r="D240" s="194"/>
      <c r="E240" s="194"/>
      <c r="F240" s="194"/>
      <c r="G240" s="194"/>
      <c r="H240" s="194"/>
      <c r="R240" s="195" t="s">
        <v>345</v>
      </c>
      <c r="S240" s="195"/>
      <c r="T240" s="195"/>
      <c r="U240" s="195"/>
      <c r="AK240" s="28"/>
    </row>
    <row r="241" ht="15" customHeight="1" x14ac:dyDescent="0.3"/>
    <row r="242" ht="15" customHeight="1" x14ac:dyDescent="0.3"/>
    <row r="243" ht="15" customHeight="1" x14ac:dyDescent="0.3"/>
  </sheetData>
  <sheetProtection algorithmName="SHA-512" hashValue="h8enpk6x73G85r/zb7lWqsuQLHnhYJv69ZOTbZ/bOweXcRCil7jP7qhrxyeHStWqeNDyxbq9isJm7xN0gkz9iw==" saltValue="BpgfxW7o2qFbllMrZNqL3Q==" spinCount="100000" sheet="1" objects="1" scenarios="1" selectLockedCells="1"/>
  <mergeCells count="374">
    <mergeCell ref="AC160:AI160"/>
    <mergeCell ref="Y160:Z160"/>
    <mergeCell ref="M90:P90"/>
    <mergeCell ref="AA88:AD88"/>
    <mergeCell ref="AG85:AJ85"/>
    <mergeCell ref="AG88:AJ88"/>
    <mergeCell ref="AG87:AJ87"/>
    <mergeCell ref="M89:P89"/>
    <mergeCell ref="AA90:AD90"/>
    <mergeCell ref="AH134:AK134"/>
    <mergeCell ref="N119:Q119"/>
    <mergeCell ref="X117:AA117"/>
    <mergeCell ref="B124:AK129"/>
    <mergeCell ref="N108:Q108"/>
    <mergeCell ref="C113:D113"/>
    <mergeCell ref="C114:D114"/>
    <mergeCell ref="AC121:AF121"/>
    <mergeCell ref="AH121:AK121"/>
    <mergeCell ref="X120:AA120"/>
    <mergeCell ref="N115:Q115"/>
    <mergeCell ref="N113:Q113"/>
    <mergeCell ref="S111:V111"/>
    <mergeCell ref="S112:V112"/>
    <mergeCell ref="S113:V113"/>
    <mergeCell ref="AF201:AK201"/>
    <mergeCell ref="I24:K24"/>
    <mergeCell ref="N24:P24"/>
    <mergeCell ref="I25:K25"/>
    <mergeCell ref="N25:P25"/>
    <mergeCell ref="AB24:AD24"/>
    <mergeCell ref="AG24:AI24"/>
    <mergeCell ref="AB25:AD25"/>
    <mergeCell ref="AG25:AI25"/>
    <mergeCell ref="N27:R27"/>
    <mergeCell ref="AG27:AK27"/>
    <mergeCell ref="AE136:AI136"/>
    <mergeCell ref="F143:V143"/>
    <mergeCell ref="Y154:Z154"/>
    <mergeCell ref="AC154:AI154"/>
    <mergeCell ref="Y156:Z156"/>
    <mergeCell ref="AC156:AI156"/>
    <mergeCell ref="Y158:Z158"/>
    <mergeCell ref="G88:J88"/>
    <mergeCell ref="G89:J89"/>
    <mergeCell ref="AC174:AI174"/>
    <mergeCell ref="B177:AK180"/>
    <mergeCell ref="AC158:AI158"/>
    <mergeCell ref="AF199:AJ199"/>
    <mergeCell ref="Q197:T197"/>
    <mergeCell ref="C198:Y198"/>
    <mergeCell ref="AF198:AJ198"/>
    <mergeCell ref="AG147:AK147"/>
    <mergeCell ref="F141:V141"/>
    <mergeCell ref="D146:Z146"/>
    <mergeCell ref="AG146:AK146"/>
    <mergeCell ref="F142:V142"/>
    <mergeCell ref="AE143:AI143"/>
    <mergeCell ref="A197:G197"/>
    <mergeCell ref="Y170:Z170"/>
    <mergeCell ref="AC170:AI170"/>
    <mergeCell ref="Y172:Z172"/>
    <mergeCell ref="AC172:AI172"/>
    <mergeCell ref="Y174:Z174"/>
    <mergeCell ref="Y162:Z162"/>
    <mergeCell ref="AC162:AI162"/>
    <mergeCell ref="Y164:Z164"/>
    <mergeCell ref="AC164:AI164"/>
    <mergeCell ref="Y166:Z166"/>
    <mergeCell ref="AC166:AI166"/>
    <mergeCell ref="Y168:Z168"/>
    <mergeCell ref="AC168:AI168"/>
    <mergeCell ref="R145:U145"/>
    <mergeCell ref="B81:D81"/>
    <mergeCell ref="B78:D78"/>
    <mergeCell ref="B79:D79"/>
    <mergeCell ref="B80:D80"/>
    <mergeCell ref="B77:D77"/>
    <mergeCell ref="A68:AL68"/>
    <mergeCell ref="H69:P69"/>
    <mergeCell ref="AA69:AI69"/>
    <mergeCell ref="G81:J81"/>
    <mergeCell ref="AA76:AD76"/>
    <mergeCell ref="V78:X78"/>
    <mergeCell ref="AA78:AD78"/>
    <mergeCell ref="V77:X77"/>
    <mergeCell ref="V79:X79"/>
    <mergeCell ref="AA77:AD77"/>
    <mergeCell ref="AG77:AJ77"/>
    <mergeCell ref="AG78:AJ78"/>
    <mergeCell ref="AG79:AJ79"/>
    <mergeCell ref="M78:P78"/>
    <mergeCell ref="M79:P79"/>
    <mergeCell ref="BK1:CC4"/>
    <mergeCell ref="AU6:BF7"/>
    <mergeCell ref="A74:AL74"/>
    <mergeCell ref="AF7:AK7"/>
    <mergeCell ref="AE6:AK6"/>
    <mergeCell ref="O51:Q51"/>
    <mergeCell ref="J51:L51"/>
    <mergeCell ref="Y60:AB60"/>
    <mergeCell ref="N21:P21"/>
    <mergeCell ref="F48:H48"/>
    <mergeCell ref="F36:I36"/>
    <mergeCell ref="N33:P33"/>
    <mergeCell ref="I21:K21"/>
    <mergeCell ref="E72:F72"/>
    <mergeCell ref="E7:Z7"/>
    <mergeCell ref="N15:P15"/>
    <mergeCell ref="E8:Z8"/>
    <mergeCell ref="F30:I30"/>
    <mergeCell ref="AF8:AK8"/>
    <mergeCell ref="F41:H41"/>
    <mergeCell ref="A12:AL12"/>
    <mergeCell ref="A57:AL57"/>
    <mergeCell ref="A64:AL64"/>
    <mergeCell ref="O48:Q48"/>
    <mergeCell ref="B83:D83"/>
    <mergeCell ref="I22:K22"/>
    <mergeCell ref="I33:K33"/>
    <mergeCell ref="I23:K23"/>
    <mergeCell ref="N22:P22"/>
    <mergeCell ref="G82:J82"/>
    <mergeCell ref="G83:J83"/>
    <mergeCell ref="F43:H43"/>
    <mergeCell ref="O43:Q43"/>
    <mergeCell ref="F46:I46"/>
    <mergeCell ref="O46:Q46"/>
    <mergeCell ref="F47:H47"/>
    <mergeCell ref="G77:J77"/>
    <mergeCell ref="G78:J78"/>
    <mergeCell ref="O37:Q37"/>
    <mergeCell ref="G76:J76"/>
    <mergeCell ref="G79:J79"/>
    <mergeCell ref="O61:Q61"/>
    <mergeCell ref="E70:F70"/>
    <mergeCell ref="L70:M70"/>
    <mergeCell ref="B82:D82"/>
    <mergeCell ref="O62:Q62"/>
    <mergeCell ref="E61:G61"/>
    <mergeCell ref="E62:G62"/>
    <mergeCell ref="Y43:AA43"/>
    <mergeCell ref="AH40:AJ40"/>
    <mergeCell ref="X70:Y70"/>
    <mergeCell ref="AE70:AF70"/>
    <mergeCell ref="O50:Q50"/>
    <mergeCell ref="D54:Z54"/>
    <mergeCell ref="Z46:AC46"/>
    <mergeCell ref="Z47:AB47"/>
    <mergeCell ref="F40:I40"/>
    <mergeCell ref="O40:Q40"/>
    <mergeCell ref="O47:Q47"/>
    <mergeCell ref="O42:Q42"/>
    <mergeCell ref="J50:L50"/>
    <mergeCell ref="AH118:AK118"/>
    <mergeCell ref="AH119:AK119"/>
    <mergeCell ref="AH111:AK111"/>
    <mergeCell ref="AC119:AF119"/>
    <mergeCell ref="X118:AA118"/>
    <mergeCell ref="X119:AA119"/>
    <mergeCell ref="X115:AA115"/>
    <mergeCell ref="X116:AA116"/>
    <mergeCell ref="N18:R18"/>
    <mergeCell ref="X72:Y72"/>
    <mergeCell ref="O36:Q36"/>
    <mergeCell ref="AH46:AJ46"/>
    <mergeCell ref="AH47:AJ47"/>
    <mergeCell ref="AC50:AE50"/>
    <mergeCell ref="AH50:AJ50"/>
    <mergeCell ref="AH51:AJ51"/>
    <mergeCell ref="AH48:AJ48"/>
    <mergeCell ref="AG18:AK18"/>
    <mergeCell ref="AH61:AJ61"/>
    <mergeCell ref="AH62:AJ62"/>
    <mergeCell ref="AG36:AI36"/>
    <mergeCell ref="Y40:AB40"/>
    <mergeCell ref="Y41:AA41"/>
    <mergeCell ref="Y42:AA42"/>
    <mergeCell ref="C112:D112"/>
    <mergeCell ref="S110:V110"/>
    <mergeCell ref="AH109:AK109"/>
    <mergeCell ref="I111:L111"/>
    <mergeCell ref="I109:L109"/>
    <mergeCell ref="AC115:AF115"/>
    <mergeCell ref="AH115:AK115"/>
    <mergeCell ref="AH116:AK116"/>
    <mergeCell ref="AH117:AK117"/>
    <mergeCell ref="AA82:AD82"/>
    <mergeCell ref="AA81:AD81"/>
    <mergeCell ref="AA80:AD80"/>
    <mergeCell ref="G84:J84"/>
    <mergeCell ref="G85:J85"/>
    <mergeCell ref="S114:V114"/>
    <mergeCell ref="AH112:AK112"/>
    <mergeCell ref="AH113:AK113"/>
    <mergeCell ref="X111:AA111"/>
    <mergeCell ref="M84:P84"/>
    <mergeCell ref="M81:P81"/>
    <mergeCell ref="V90:X90"/>
    <mergeCell ref="M86:P86"/>
    <mergeCell ref="A107:AL107"/>
    <mergeCell ref="X110:AA110"/>
    <mergeCell ref="I108:L108"/>
    <mergeCell ref="G80:J80"/>
    <mergeCell ref="V83:X83"/>
    <mergeCell ref="B90:D90"/>
    <mergeCell ref="G86:J86"/>
    <mergeCell ref="M82:P82"/>
    <mergeCell ref="M83:P83"/>
    <mergeCell ref="B85:D85"/>
    <mergeCell ref="B86:D86"/>
    <mergeCell ref="AH120:AK120"/>
    <mergeCell ref="AG54:AK54"/>
    <mergeCell ref="AG55:AK55"/>
    <mergeCell ref="S115:V115"/>
    <mergeCell ref="V88:X88"/>
    <mergeCell ref="AG100:AK100"/>
    <mergeCell ref="AH114:AK114"/>
    <mergeCell ref="AH110:AK110"/>
    <mergeCell ref="AC112:AF112"/>
    <mergeCell ref="D100:Z100"/>
    <mergeCell ref="AG81:AJ81"/>
    <mergeCell ref="AG82:AJ82"/>
    <mergeCell ref="AG90:AJ90"/>
    <mergeCell ref="V80:X80"/>
    <mergeCell ref="M80:P80"/>
    <mergeCell ref="V81:X81"/>
    <mergeCell ref="V82:X82"/>
    <mergeCell ref="V89:X89"/>
    <mergeCell ref="M87:P87"/>
    <mergeCell ref="N114:Q114"/>
    <mergeCell ref="I112:L112"/>
    <mergeCell ref="N110:Q110"/>
    <mergeCell ref="C111:D111"/>
    <mergeCell ref="X113:AA113"/>
    <mergeCell ref="S1:AL4"/>
    <mergeCell ref="O60:R60"/>
    <mergeCell ref="E60:H60"/>
    <mergeCell ref="I65:L65"/>
    <mergeCell ref="I66:L66"/>
    <mergeCell ref="AD65:AG65"/>
    <mergeCell ref="AD66:AG66"/>
    <mergeCell ref="N23:P23"/>
    <mergeCell ref="I32:K32"/>
    <mergeCell ref="N32:P32"/>
    <mergeCell ref="F42:H42"/>
    <mergeCell ref="Z48:AB48"/>
    <mergeCell ref="AG23:AI23"/>
    <mergeCell ref="AG22:AI22"/>
    <mergeCell ref="AG21:AI21"/>
    <mergeCell ref="AG37:AI37"/>
    <mergeCell ref="AB33:AD33"/>
    <mergeCell ref="AG33:AI33"/>
    <mergeCell ref="AB32:AD32"/>
    <mergeCell ref="AG32:AI32"/>
    <mergeCell ref="Y36:AB36"/>
    <mergeCell ref="AB23:AD23"/>
    <mergeCell ref="AB22:AD22"/>
    <mergeCell ref="AB21:AD21"/>
    <mergeCell ref="Z134:AC134"/>
    <mergeCell ref="AC110:AF110"/>
    <mergeCell ref="N112:Q112"/>
    <mergeCell ref="AC111:AF111"/>
    <mergeCell ref="AC117:AF117"/>
    <mergeCell ref="N118:Q118"/>
    <mergeCell ref="S118:V118"/>
    <mergeCell ref="N120:Q120"/>
    <mergeCell ref="S120:V120"/>
    <mergeCell ref="S121:V121"/>
    <mergeCell ref="N111:Q111"/>
    <mergeCell ref="F132:V132"/>
    <mergeCell ref="X114:AA114"/>
    <mergeCell ref="AC120:AF120"/>
    <mergeCell ref="I115:L115"/>
    <mergeCell ref="AC113:AF113"/>
    <mergeCell ref="AC114:AF114"/>
    <mergeCell ref="S116:V116"/>
    <mergeCell ref="S117:V117"/>
    <mergeCell ref="I114:L114"/>
    <mergeCell ref="I113:L113"/>
    <mergeCell ref="X112:AA112"/>
    <mergeCell ref="X121:AA121"/>
    <mergeCell ref="AC118:AF118"/>
    <mergeCell ref="B145:H145"/>
    <mergeCell ref="C120:D120"/>
    <mergeCell ref="C121:D121"/>
    <mergeCell ref="F139:V139"/>
    <mergeCell ref="C117:D117"/>
    <mergeCell ref="C118:D118"/>
    <mergeCell ref="N121:Q121"/>
    <mergeCell ref="I116:L116"/>
    <mergeCell ref="I117:L117"/>
    <mergeCell ref="I120:L120"/>
    <mergeCell ref="N116:Q116"/>
    <mergeCell ref="C116:D116"/>
    <mergeCell ref="C119:D119"/>
    <mergeCell ref="F140:V140"/>
    <mergeCell ref="S119:V119"/>
    <mergeCell ref="F133:V133"/>
    <mergeCell ref="F136:V136"/>
    <mergeCell ref="I121:L121"/>
    <mergeCell ref="F135:V135"/>
    <mergeCell ref="I118:L118"/>
    <mergeCell ref="F134:V134"/>
    <mergeCell ref="I119:L119"/>
    <mergeCell ref="N117:Q117"/>
    <mergeCell ref="B87:D87"/>
    <mergeCell ref="I110:L110"/>
    <mergeCell ref="AG101:AK101"/>
    <mergeCell ref="G90:J90"/>
    <mergeCell ref="AA85:AD85"/>
    <mergeCell ref="AA89:AD89"/>
    <mergeCell ref="C109:D109"/>
    <mergeCell ref="AC109:AF109"/>
    <mergeCell ref="J105:L105"/>
    <mergeCell ref="X109:AA109"/>
    <mergeCell ref="AD105:AF105"/>
    <mergeCell ref="A103:AL103"/>
    <mergeCell ref="S108:V108"/>
    <mergeCell ref="C110:D110"/>
    <mergeCell ref="N109:Q109"/>
    <mergeCell ref="S109:V109"/>
    <mergeCell ref="M85:P85"/>
    <mergeCell ref="M88:P88"/>
    <mergeCell ref="V86:X86"/>
    <mergeCell ref="V87:X87"/>
    <mergeCell ref="V85:X85"/>
    <mergeCell ref="B84:D84"/>
    <mergeCell ref="B88:D88"/>
    <mergeCell ref="B89:D89"/>
    <mergeCell ref="V84:X84"/>
    <mergeCell ref="X108:AA108"/>
    <mergeCell ref="G87:J87"/>
    <mergeCell ref="AH108:AK108"/>
    <mergeCell ref="AC108:AF108"/>
    <mergeCell ref="AH42:AJ42"/>
    <mergeCell ref="AH43:AJ43"/>
    <mergeCell ref="Y61:AA61"/>
    <mergeCell ref="Y62:AA62"/>
    <mergeCell ref="AA86:AD86"/>
    <mergeCell ref="AG83:AJ83"/>
    <mergeCell ref="AG84:AJ84"/>
    <mergeCell ref="AG89:AJ89"/>
    <mergeCell ref="AH60:AK60"/>
    <mergeCell ref="AG86:AJ86"/>
    <mergeCell ref="AA83:AD83"/>
    <mergeCell ref="AA87:AD87"/>
    <mergeCell ref="AA84:AD84"/>
    <mergeCell ref="AG80:AJ80"/>
    <mergeCell ref="AA79:AD79"/>
    <mergeCell ref="AC51:AE51"/>
    <mergeCell ref="AG14:AI14"/>
    <mergeCell ref="B240:H240"/>
    <mergeCell ref="R240:U240"/>
    <mergeCell ref="E181:Y181"/>
    <mergeCell ref="E182:Y182"/>
    <mergeCell ref="E183:Y183"/>
    <mergeCell ref="E184:K184"/>
    <mergeCell ref="O184:R184"/>
    <mergeCell ref="W184:Y184"/>
    <mergeCell ref="E185:Y185"/>
    <mergeCell ref="E186:I186"/>
    <mergeCell ref="Y30:AB30"/>
    <mergeCell ref="AC188:AG188"/>
    <mergeCell ref="N14:P14"/>
    <mergeCell ref="Z141:AC141"/>
    <mergeCell ref="AH141:AK141"/>
    <mergeCell ref="AE142:AK142"/>
    <mergeCell ref="B53:H53"/>
    <mergeCell ref="R53:U53"/>
    <mergeCell ref="B99:H99"/>
    <mergeCell ref="R99:U99"/>
    <mergeCell ref="AC116:AF116"/>
    <mergeCell ref="M77:P77"/>
    <mergeCell ref="AG15:AI15"/>
  </mergeCells>
  <conditionalFormatting sqref="B124:AK129">
    <cfRule type="cellIs" priority="1340" stopIfTrue="1" operator="greaterThan">
      <formula>0</formula>
    </cfRule>
    <cfRule type="expression" dxfId="129" priority="1341">
      <formula>$AM$202&gt;0</formula>
    </cfRule>
  </conditionalFormatting>
  <conditionalFormatting sqref="C152 E152">
    <cfRule type="expression" dxfId="128" priority="108">
      <formula>ISBLANK(C152)</formula>
    </cfRule>
  </conditionalFormatting>
  <conditionalFormatting sqref="C154 E154">
    <cfRule type="expression" dxfId="127" priority="134">
      <formula>ISBLANK(C154)</formula>
    </cfRule>
  </conditionalFormatting>
  <conditionalFormatting sqref="C156 E156">
    <cfRule type="expression" dxfId="126" priority="81">
      <formula>ISBLANK(C156)</formula>
    </cfRule>
  </conditionalFormatting>
  <conditionalFormatting sqref="C158 E158">
    <cfRule type="expression" dxfId="125" priority="78">
      <formula>ISBLANK(C158)</formula>
    </cfRule>
  </conditionalFormatting>
  <conditionalFormatting sqref="C160 E160">
    <cfRule type="expression" dxfId="124" priority="75">
      <formula>ISBLANK(C160)</formula>
    </cfRule>
  </conditionalFormatting>
  <conditionalFormatting sqref="C162 E162">
    <cfRule type="expression" dxfId="123" priority="24">
      <formula>ISBLANK(C162)</formula>
    </cfRule>
  </conditionalFormatting>
  <conditionalFormatting sqref="C164 E164">
    <cfRule type="expression" dxfId="122" priority="19">
      <formula>ISBLANK(C164)</formula>
    </cfRule>
  </conditionalFormatting>
  <conditionalFormatting sqref="C166 E166">
    <cfRule type="expression" dxfId="121" priority="14">
      <formula>ISBLANK(C166)</formula>
    </cfRule>
  </conditionalFormatting>
  <conditionalFormatting sqref="C168 E168">
    <cfRule type="expression" dxfId="120" priority="72">
      <formula>ISBLANK(C168)</formula>
    </cfRule>
  </conditionalFormatting>
  <conditionalFormatting sqref="C170 E170">
    <cfRule type="expression" dxfId="119" priority="69">
      <formula>ISBLANK(C170)</formula>
    </cfRule>
  </conditionalFormatting>
  <conditionalFormatting sqref="C172 E172">
    <cfRule type="expression" dxfId="118" priority="60">
      <formula>ISBLANK(C172)</formula>
    </cfRule>
  </conditionalFormatting>
  <conditionalFormatting sqref="C174 E174">
    <cfRule type="expression" dxfId="117" priority="57">
      <formula>ISBLANK(C174)</formula>
    </cfRule>
  </conditionalFormatting>
  <conditionalFormatting sqref="C198:Y198">
    <cfRule type="cellIs" dxfId="116" priority="36" operator="equal">
      <formula>0</formula>
    </cfRule>
  </conditionalFormatting>
  <conditionalFormatting sqref="D54:Z54">
    <cfRule type="cellIs" dxfId="115" priority="378" operator="equal">
      <formula>0</formula>
    </cfRule>
  </conditionalFormatting>
  <conditionalFormatting sqref="D100:Z100">
    <cfRule type="cellIs" dxfId="114" priority="376" operator="equal">
      <formula>0</formula>
    </cfRule>
  </conditionalFormatting>
  <conditionalFormatting sqref="D146:Z146">
    <cfRule type="cellIs" dxfId="113" priority="371" operator="equal">
      <formula>0</formula>
    </cfRule>
  </conditionalFormatting>
  <conditionalFormatting sqref="E70:E71">
    <cfRule type="expression" priority="7" stopIfTrue="1">
      <formula>$AL$45=2</formula>
    </cfRule>
    <cfRule type="cellIs" priority="8" stopIfTrue="1" operator="greaterThan">
      <formula>0</formula>
    </cfRule>
    <cfRule type="expression" dxfId="112" priority="9">
      <formula>#REF!</formula>
    </cfRule>
  </conditionalFormatting>
  <conditionalFormatting sqref="E152 C152">
    <cfRule type="expression" priority="107" stopIfTrue="1">
      <formula>$AM$152=2</formula>
    </cfRule>
  </conditionalFormatting>
  <conditionalFormatting sqref="E152">
    <cfRule type="expression" dxfId="111" priority="106">
      <formula>$AN$152=2</formula>
    </cfRule>
  </conditionalFormatting>
  <conditionalFormatting sqref="E154 C154">
    <cfRule type="expression" priority="133" stopIfTrue="1">
      <formula>$AM154=2</formula>
    </cfRule>
  </conditionalFormatting>
  <conditionalFormatting sqref="E154">
    <cfRule type="expression" dxfId="110" priority="132">
      <formula>$AN154=2</formula>
    </cfRule>
  </conditionalFormatting>
  <conditionalFormatting sqref="E156 C156">
    <cfRule type="expression" priority="80" stopIfTrue="1">
      <formula>$AM156=2</formula>
    </cfRule>
  </conditionalFormatting>
  <conditionalFormatting sqref="E156">
    <cfRule type="expression" dxfId="109" priority="79">
      <formula>$AN156=2</formula>
    </cfRule>
  </conditionalFormatting>
  <conditionalFormatting sqref="E158 C158">
    <cfRule type="expression" priority="77" stopIfTrue="1">
      <formula>$AM158=2</formula>
    </cfRule>
  </conditionalFormatting>
  <conditionalFormatting sqref="E158">
    <cfRule type="expression" dxfId="108" priority="76">
      <formula>$AN158=2</formula>
    </cfRule>
  </conditionalFormatting>
  <conditionalFormatting sqref="E160 C160">
    <cfRule type="expression" priority="74" stopIfTrue="1">
      <formula>$AM160=2</formula>
    </cfRule>
  </conditionalFormatting>
  <conditionalFormatting sqref="E160">
    <cfRule type="expression" dxfId="107" priority="73">
      <formula>$AN160=2</formula>
    </cfRule>
  </conditionalFormatting>
  <conditionalFormatting sqref="E162 C162">
    <cfRule type="expression" priority="23" stopIfTrue="1">
      <formula>$AM162=2</formula>
    </cfRule>
  </conditionalFormatting>
  <conditionalFormatting sqref="E162">
    <cfRule type="expression" dxfId="106" priority="22">
      <formula>$AN162=2</formula>
    </cfRule>
  </conditionalFormatting>
  <conditionalFormatting sqref="E164 C164">
    <cfRule type="expression" priority="18" stopIfTrue="1">
      <formula>$AM164=2</formula>
    </cfRule>
  </conditionalFormatting>
  <conditionalFormatting sqref="E164">
    <cfRule type="expression" dxfId="105" priority="17">
      <formula>$AN164=2</formula>
    </cfRule>
  </conditionalFormatting>
  <conditionalFormatting sqref="E166 C166">
    <cfRule type="expression" priority="13" stopIfTrue="1">
      <formula>$AM166=2</formula>
    </cfRule>
  </conditionalFormatting>
  <conditionalFormatting sqref="E166">
    <cfRule type="expression" dxfId="104" priority="12">
      <formula>$AN166=2</formula>
    </cfRule>
  </conditionalFormatting>
  <conditionalFormatting sqref="E168 C168">
    <cfRule type="expression" priority="71" stopIfTrue="1">
      <formula>$AM168=2</formula>
    </cfRule>
  </conditionalFormatting>
  <conditionalFormatting sqref="E168">
    <cfRule type="expression" dxfId="103" priority="70">
      <formula>$AN168=2</formula>
    </cfRule>
  </conditionalFormatting>
  <conditionalFormatting sqref="E170 C170">
    <cfRule type="expression" priority="68" stopIfTrue="1">
      <formula>$AM170=2</formula>
    </cfRule>
  </conditionalFormatting>
  <conditionalFormatting sqref="E170">
    <cfRule type="expression" dxfId="102" priority="67">
      <formula>$AN170=2</formula>
    </cfRule>
  </conditionalFormatting>
  <conditionalFormatting sqref="E172 C172">
    <cfRule type="expression" priority="59" stopIfTrue="1">
      <formula>$AM172=2</formula>
    </cfRule>
  </conditionalFormatting>
  <conditionalFormatting sqref="E172">
    <cfRule type="expression" dxfId="101" priority="58">
      <formula>$AN172=2</formula>
    </cfRule>
  </conditionalFormatting>
  <conditionalFormatting sqref="E174 C174">
    <cfRule type="expression" priority="56" stopIfTrue="1">
      <formula>$AM174=2</formula>
    </cfRule>
  </conditionalFormatting>
  <conditionalFormatting sqref="E174">
    <cfRule type="expression" dxfId="100" priority="55">
      <formula>$AN174=2</formula>
    </cfRule>
  </conditionalFormatting>
  <conditionalFormatting sqref="E181:E182">
    <cfRule type="expression" dxfId="99" priority="143">
      <formula>ISBLANK(E181)</formula>
    </cfRule>
  </conditionalFormatting>
  <conditionalFormatting sqref="E183:Y183 E184:E186">
    <cfRule type="expression" dxfId="98" priority="141">
      <formula>ISBLANK(E183)</formula>
    </cfRule>
  </conditionalFormatting>
  <conditionalFormatting sqref="E7:Z8 AF8">
    <cfRule type="cellIs" dxfId="97" priority="365" operator="equal">
      <formula>0</formula>
    </cfRule>
  </conditionalFormatting>
  <conditionalFormatting sqref="F132:F136">
    <cfRule type="expression" dxfId="96" priority="34">
      <formula>ISBLANK(F132)</formula>
    </cfRule>
  </conditionalFormatting>
  <conditionalFormatting sqref="F139:F143 Z141 AH141 AE142:AE143">
    <cfRule type="expression" dxfId="95" priority="474">
      <formula>ISBLANK(F139)</formula>
    </cfRule>
    <cfRule type="expression" priority="386" stopIfTrue="1">
      <formula>$AM$138=2</formula>
    </cfRule>
  </conditionalFormatting>
  <conditionalFormatting sqref="G10 N10 Z10 AH10">
    <cfRule type="expression" dxfId="94" priority="384">
      <formula>ISBLANK(G10)</formula>
    </cfRule>
  </conditionalFormatting>
  <conditionalFormatting sqref="I116:I121">
    <cfRule type="expression" dxfId="93" priority="538" stopIfTrue="1">
      <formula>ISBLANK(I116)</formula>
    </cfRule>
    <cfRule type="cellIs" dxfId="92" priority="539" operator="notEqual">
      <formula>$I109</formula>
    </cfRule>
  </conditionalFormatting>
  <conditionalFormatting sqref="M72 P72">
    <cfRule type="expression" dxfId="91" priority="5">
      <formula>#REF!=1</formula>
    </cfRule>
  </conditionalFormatting>
  <conditionalFormatting sqref="N109:N114">
    <cfRule type="expression" dxfId="90" priority="1173">
      <formula>ISBLANK(N109)</formula>
    </cfRule>
  </conditionalFormatting>
  <conditionalFormatting sqref="N116:N121">
    <cfRule type="expression" dxfId="89" priority="532" stopIfTrue="1">
      <formula>ISBLANK(N116)</formula>
    </cfRule>
    <cfRule type="cellIs" dxfId="88" priority="533" operator="notEqual">
      <formula>$N109</formula>
    </cfRule>
  </conditionalFormatting>
  <conditionalFormatting sqref="O184 W184">
    <cfRule type="expression" dxfId="87" priority="140">
      <formula>ISBLANK(O184)</formula>
    </cfRule>
  </conditionalFormatting>
  <conditionalFormatting sqref="P72">
    <cfRule type="expression" dxfId="86" priority="6">
      <formula>#REF!=2</formula>
    </cfRule>
  </conditionalFormatting>
  <conditionalFormatting sqref="S109:S114 X109:X114 AC109:AC114">
    <cfRule type="expression" dxfId="85" priority="473">
      <formula>ISBLANK(S109)</formula>
    </cfRule>
  </conditionalFormatting>
  <conditionalFormatting sqref="S116:S121 X116:X121 AC116:AC121">
    <cfRule type="expression" dxfId="84" priority="152" stopIfTrue="1">
      <formula>ISBLANK(S116)</formula>
    </cfRule>
  </conditionalFormatting>
  <conditionalFormatting sqref="V77:X77">
    <cfRule type="expression" dxfId="83" priority="148">
      <formula>ISBLANK($V$77)</formula>
    </cfRule>
  </conditionalFormatting>
  <conditionalFormatting sqref="X116:X120">
    <cfRule type="cellIs" dxfId="82" priority="531" operator="greaterThan">
      <formula>$Y$62</formula>
    </cfRule>
  </conditionalFormatting>
  <conditionalFormatting sqref="X116:AA120">
    <cfRule type="expression" priority="383" stopIfTrue="1">
      <formula>$AS$59=1</formula>
    </cfRule>
  </conditionalFormatting>
  <conditionalFormatting sqref="Y18 AB18 AB27">
    <cfRule type="expression" dxfId="81" priority="322">
      <formula>ISBLANK(AB18)</formula>
    </cfRule>
    <cfRule type="expression" priority="321" stopIfTrue="1">
      <formula>$AM$27=2</formula>
    </cfRule>
    <cfRule type="cellIs" priority="320" stopIfTrue="1" operator="greaterThan">
      <formula>0</formula>
    </cfRule>
  </conditionalFormatting>
  <conditionalFormatting sqref="Y27">
    <cfRule type="expression" dxfId="80" priority="29">
      <formula>ISBLANK(AB27)</formula>
    </cfRule>
    <cfRule type="cellIs" priority="27" stopIfTrue="1" operator="greaterThan">
      <formula>0</formula>
    </cfRule>
    <cfRule type="expression" priority="28" stopIfTrue="1">
      <formula>$AM$27=2</formula>
    </cfRule>
  </conditionalFormatting>
  <conditionalFormatting sqref="Y154 AC154">
    <cfRule type="expression" dxfId="79" priority="131">
      <formula>$AO154=2</formula>
    </cfRule>
    <cfRule type="cellIs" priority="130" stopIfTrue="1" operator="greaterThan">
      <formula>0</formula>
    </cfRule>
  </conditionalFormatting>
  <conditionalFormatting sqref="Y156 AC156">
    <cfRule type="expression" dxfId="78" priority="54">
      <formula>$AO156=2</formula>
    </cfRule>
    <cfRule type="cellIs" priority="53" stopIfTrue="1" operator="greaterThan">
      <formula>0</formula>
    </cfRule>
  </conditionalFormatting>
  <conditionalFormatting sqref="Y158 AC158">
    <cfRule type="expression" dxfId="77" priority="52">
      <formula>$AO158=2</formula>
    </cfRule>
    <cfRule type="cellIs" priority="51" stopIfTrue="1" operator="greaterThan">
      <formula>0</formula>
    </cfRule>
  </conditionalFormatting>
  <conditionalFormatting sqref="Y160 AC160">
    <cfRule type="expression" dxfId="76" priority="50">
      <formula>$AO160=2</formula>
    </cfRule>
    <cfRule type="cellIs" priority="49" stopIfTrue="1" operator="greaterThan">
      <formula>0</formula>
    </cfRule>
  </conditionalFormatting>
  <conditionalFormatting sqref="Y162 AC162">
    <cfRule type="cellIs" priority="20" stopIfTrue="1" operator="greaterThan">
      <formula>0</formula>
    </cfRule>
    <cfRule type="expression" dxfId="75" priority="21">
      <formula>$AO162=2</formula>
    </cfRule>
  </conditionalFormatting>
  <conditionalFormatting sqref="Y164 AC164">
    <cfRule type="expression" dxfId="74" priority="16">
      <formula>$AO164=2</formula>
    </cfRule>
    <cfRule type="cellIs" priority="15" stopIfTrue="1" operator="greaterThan">
      <formula>0</formula>
    </cfRule>
  </conditionalFormatting>
  <conditionalFormatting sqref="Y166 AC166">
    <cfRule type="cellIs" priority="10" stopIfTrue="1" operator="greaterThan">
      <formula>0</formula>
    </cfRule>
    <cfRule type="expression" dxfId="73" priority="11">
      <formula>$AO166=2</formula>
    </cfRule>
  </conditionalFormatting>
  <conditionalFormatting sqref="Y168 AC168">
    <cfRule type="cellIs" priority="47" stopIfTrue="1" operator="greaterThan">
      <formula>0</formula>
    </cfRule>
    <cfRule type="expression" dxfId="72" priority="48">
      <formula>$AO168=2</formula>
    </cfRule>
  </conditionalFormatting>
  <conditionalFormatting sqref="Y170 AC170">
    <cfRule type="cellIs" priority="45" stopIfTrue="1" operator="greaterThan">
      <formula>0</formula>
    </cfRule>
    <cfRule type="expression" dxfId="71" priority="46">
      <formula>$AO170=2</formula>
    </cfRule>
  </conditionalFormatting>
  <conditionalFormatting sqref="Y172 AC172">
    <cfRule type="expression" dxfId="70" priority="40">
      <formula>$AO172=2</formula>
    </cfRule>
    <cfRule type="cellIs" priority="39" stopIfTrue="1" operator="greaterThan">
      <formula>0</formula>
    </cfRule>
  </conditionalFormatting>
  <conditionalFormatting sqref="Y174 AC174">
    <cfRule type="cellIs" priority="37" stopIfTrue="1" operator="greaterThan">
      <formula>0</formula>
    </cfRule>
    <cfRule type="expression" dxfId="69" priority="38">
      <formula>$AO174=2</formula>
    </cfRule>
  </conditionalFormatting>
  <conditionalFormatting sqref="Y41:AA41">
    <cfRule type="expression" priority="179" stopIfTrue="1">
      <formula>$AM$42=2</formula>
    </cfRule>
    <cfRule type="expression" dxfId="68" priority="181">
      <formula>ISBLANK(Y41)</formula>
    </cfRule>
    <cfRule type="cellIs" priority="180" stopIfTrue="1" operator="greaterThan">
      <formula>0</formula>
    </cfRule>
  </conditionalFormatting>
  <conditionalFormatting sqref="Y41:AA43 AH42:AJ43">
    <cfRule type="expression" priority="171" stopIfTrue="1">
      <formula>$AM$38=2</formula>
    </cfRule>
  </conditionalFormatting>
  <conditionalFormatting sqref="Y42:AA42 AH42:AJ42">
    <cfRule type="expression" priority="175" stopIfTrue="1">
      <formula>$AM$41=2</formula>
    </cfRule>
    <cfRule type="expression" dxfId="67" priority="177">
      <formula>ISBLANK(Y42)</formula>
    </cfRule>
    <cfRule type="cellIs" priority="176" stopIfTrue="1" operator="greaterThan">
      <formula>0</formula>
    </cfRule>
  </conditionalFormatting>
  <conditionalFormatting sqref="Y43:AA43 AH43:AJ43">
    <cfRule type="cellIs" priority="172" stopIfTrue="1" operator="greaterThan">
      <formula>0</formula>
    </cfRule>
    <cfRule type="expression" dxfId="66" priority="173">
      <formula>ISBLANK(Y43)</formula>
    </cfRule>
  </conditionalFormatting>
  <conditionalFormatting sqref="Y30:AB30 AB32:AD33 AG32:AI33">
    <cfRule type="expression" dxfId="65" priority="201">
      <formula>ISBLANK(Y30)</formula>
    </cfRule>
    <cfRule type="expression" priority="200" stopIfTrue="1">
      <formula>$AM$29=2</formula>
    </cfRule>
    <cfRule type="cellIs" priority="199" stopIfTrue="1" operator="greaterThan">
      <formula>0</formula>
    </cfRule>
  </conditionalFormatting>
  <conditionalFormatting sqref="Y36:AB36 AG36:AI37">
    <cfRule type="expression" priority="193" stopIfTrue="1">
      <formula>$AM$35=2</formula>
    </cfRule>
    <cfRule type="cellIs" priority="192" stopIfTrue="1" operator="greaterThan">
      <formula>0</formula>
    </cfRule>
    <cfRule type="expression" dxfId="64" priority="194">
      <formula>ISBLANK(Y36)</formula>
    </cfRule>
  </conditionalFormatting>
  <conditionalFormatting sqref="Y40:AB40 AH40:AJ40">
    <cfRule type="expression" priority="182" stopIfTrue="1">
      <formula>$AM$38=2</formula>
    </cfRule>
    <cfRule type="cellIs" priority="183" stopIfTrue="1" operator="greaterThan">
      <formula>0</formula>
    </cfRule>
    <cfRule type="expression" dxfId="63" priority="184">
      <formula>ISBLANK(AA40)</formula>
    </cfRule>
  </conditionalFormatting>
  <conditionalFormatting sqref="Y60:AB60 AH60:AK60 Y61:AA62 AH61:AJ62">
    <cfRule type="expression" dxfId="62" priority="157">
      <formula>ISBLANK(Y60)</formula>
    </cfRule>
    <cfRule type="expression" priority="155" stopIfTrue="1">
      <formula>$AN$59=2</formula>
    </cfRule>
    <cfRule type="cellIs" priority="156" stopIfTrue="1" operator="greaterThan">
      <formula>0</formula>
    </cfRule>
  </conditionalFormatting>
  <conditionalFormatting sqref="Z46:Z47">
    <cfRule type="expression" dxfId="61" priority="168">
      <formula>ISBLANK(Z46)</formula>
    </cfRule>
    <cfRule type="cellIs" priority="167" stopIfTrue="1" operator="greaterThan">
      <formula>0</formula>
    </cfRule>
  </conditionalFormatting>
  <conditionalFormatting sqref="Z47">
    <cfRule type="expression" priority="166" stopIfTrue="1">
      <formula>$AM$48=2</formula>
    </cfRule>
  </conditionalFormatting>
  <conditionalFormatting sqref="Z48 AH48:AJ48">
    <cfRule type="expression" priority="163" stopIfTrue="1">
      <formula>$AM$47=2</formula>
    </cfRule>
  </conditionalFormatting>
  <conditionalFormatting sqref="Z59 AC59">
    <cfRule type="expression" priority="158" stopIfTrue="1">
      <formula>$AM$59=2</formula>
    </cfRule>
    <cfRule type="cellIs" priority="159" stopIfTrue="1" operator="greaterThan">
      <formula>0</formula>
    </cfRule>
    <cfRule type="expression" dxfId="60" priority="160">
      <formula>ISBLANK(Z59)</formula>
    </cfRule>
  </conditionalFormatting>
  <conditionalFormatting sqref="Z134 AH134">
    <cfRule type="expression" dxfId="59" priority="388">
      <formula>ISBLANK(Z134)</formula>
    </cfRule>
  </conditionalFormatting>
  <conditionalFormatting sqref="AA77">
    <cfRule type="expression" priority="382" stopIfTrue="1">
      <formula>$AM$77=1</formula>
    </cfRule>
    <cfRule type="expression" dxfId="58" priority="445">
      <formula>$AP$77=2</formula>
    </cfRule>
  </conditionalFormatting>
  <conditionalFormatting sqref="AA77:AA90 AG77:AG90">
    <cfRule type="cellIs" priority="390" stopIfTrue="1" operator="greaterThan">
      <formula>0</formula>
    </cfRule>
  </conditionalFormatting>
  <conditionalFormatting sqref="AA78 AG78">
    <cfRule type="expression" dxfId="57" priority="427">
      <formula>$AP$78=2</formula>
    </cfRule>
  </conditionalFormatting>
  <conditionalFormatting sqref="AA79 AG79">
    <cfRule type="expression" dxfId="56" priority="425">
      <formula>$AP$79=2</formula>
    </cfRule>
  </conditionalFormatting>
  <conditionalFormatting sqref="AA80 AG80">
    <cfRule type="expression" dxfId="55" priority="423">
      <formula>$AP$80=2</formula>
    </cfRule>
  </conditionalFormatting>
  <conditionalFormatting sqref="AA81">
    <cfRule type="expression" dxfId="54" priority="443">
      <formula>$AP$81=2</formula>
    </cfRule>
  </conditionalFormatting>
  <conditionalFormatting sqref="AA82">
    <cfRule type="expression" dxfId="53" priority="441">
      <formula>$AP$82=2</formula>
    </cfRule>
  </conditionalFormatting>
  <conditionalFormatting sqref="AA83 AG83">
    <cfRule type="expression" dxfId="52" priority="417">
      <formula>$AP$83=2</formula>
    </cfRule>
  </conditionalFormatting>
  <conditionalFormatting sqref="AA84">
    <cfRule type="expression" dxfId="51" priority="431">
      <formula>$AP$84=2</formula>
    </cfRule>
  </conditionalFormatting>
  <conditionalFormatting sqref="AA85">
    <cfRule type="expression" dxfId="50" priority="407">
      <formula>$AP$85=2</formula>
    </cfRule>
  </conditionalFormatting>
  <conditionalFormatting sqref="AA86">
    <cfRule type="expression" dxfId="49" priority="405">
      <formula>$AP$86=2</formula>
    </cfRule>
  </conditionalFormatting>
  <conditionalFormatting sqref="AA87 AG87">
    <cfRule type="expression" dxfId="48" priority="403">
      <formula>$AP$87=2</formula>
    </cfRule>
  </conditionalFormatting>
  <conditionalFormatting sqref="AA88 AG88">
    <cfRule type="expression" dxfId="47" priority="401">
      <formula>$AP$88=2</formula>
    </cfRule>
  </conditionalFormatting>
  <conditionalFormatting sqref="AA89 AG89">
    <cfRule type="expression" dxfId="46" priority="399">
      <formula>$AP$89=2</formula>
    </cfRule>
  </conditionalFormatting>
  <conditionalFormatting sqref="AA90 AG90">
    <cfRule type="expression" dxfId="45" priority="397">
      <formula>$AP$90=2</formula>
    </cfRule>
  </conditionalFormatting>
  <conditionalFormatting sqref="AA69:AI69 X70:Y70 AE70:AF70 X72:Y72">
    <cfRule type="expression" dxfId="44" priority="4">
      <formula>ISBLANK(X69)</formula>
    </cfRule>
  </conditionalFormatting>
  <conditionalFormatting sqref="AB29">
    <cfRule type="expression" priority="202" stopIfTrue="1">
      <formula>$AM$30=2</formula>
    </cfRule>
    <cfRule type="cellIs" priority="198" stopIfTrue="1" operator="greaterThan">
      <formula>0</formula>
    </cfRule>
    <cfRule type="expression" dxfId="43" priority="203">
      <formula>ISBLANK(AB29)</formula>
    </cfRule>
  </conditionalFormatting>
  <conditionalFormatting sqref="AB35">
    <cfRule type="cellIs" priority="195" stopIfTrue="1" operator="greaterThan">
      <formula>0</formula>
    </cfRule>
    <cfRule type="expression" priority="196" stopIfTrue="1">
      <formula>$AM$36=2</formula>
    </cfRule>
    <cfRule type="expression" dxfId="42" priority="197">
      <formula>ISBLANK(AB35)</formula>
    </cfRule>
  </conditionalFormatting>
  <conditionalFormatting sqref="AB38">
    <cfRule type="expression" dxfId="41" priority="191">
      <formula>ISBLANK(AB38)</formula>
    </cfRule>
    <cfRule type="expression" priority="190" stopIfTrue="1">
      <formula>$AM$40=2</formula>
    </cfRule>
    <cfRule type="cellIs" priority="189" stopIfTrue="1" operator="greaterThan">
      <formula>0</formula>
    </cfRule>
  </conditionalFormatting>
  <conditionalFormatting sqref="AB21:AD25 AG21:AI25">
    <cfRule type="cellIs" priority="311" stopIfTrue="1" operator="greaterThan">
      <formula>0</formula>
    </cfRule>
    <cfRule type="expression" dxfId="40" priority="312">
      <formula>ISBLANK(AG21)</formula>
    </cfRule>
  </conditionalFormatting>
  <conditionalFormatting sqref="AC109:AC114">
    <cfRule type="cellIs" dxfId="39" priority="476" operator="greaterThan">
      <formula>6</formula>
    </cfRule>
  </conditionalFormatting>
  <conditionalFormatting sqref="AC116:AC121">
    <cfRule type="cellIs" dxfId="38" priority="1339" operator="greaterThan">
      <formula>$AQ$108</formula>
    </cfRule>
  </conditionalFormatting>
  <conditionalFormatting sqref="AC188">
    <cfRule type="expression" dxfId="37" priority="142">
      <formula>ISBLANK(AC188)</formula>
    </cfRule>
  </conditionalFormatting>
  <conditionalFormatting sqref="AD65:AD66">
    <cfRule type="expression" dxfId="36" priority="469">
      <formula>ISBLANK(AD65)</formula>
    </cfRule>
  </conditionalFormatting>
  <conditionalFormatting sqref="AD105">
    <cfRule type="cellIs" dxfId="35" priority="529" operator="lessThan">
      <formula>$J105</formula>
    </cfRule>
    <cfRule type="expression" dxfId="34" priority="528">
      <formula>ISBLANK(AD105)</formula>
    </cfRule>
  </conditionalFormatting>
  <conditionalFormatting sqref="AD138">
    <cfRule type="expression" priority="151" stopIfTrue="1">
      <formula>$AM$139=2</formula>
    </cfRule>
    <cfRule type="expression" dxfId="33" priority="389">
      <formula>ISBLANK(AD138)</formula>
    </cfRule>
  </conditionalFormatting>
  <conditionalFormatting sqref="AD65:AG65">
    <cfRule type="expression" dxfId="32" priority="31">
      <formula>$AS$65=3</formula>
    </cfRule>
  </conditionalFormatting>
  <conditionalFormatting sqref="AD66:AG66">
    <cfRule type="expression" dxfId="31" priority="30">
      <formula>$AS$66=3</formula>
    </cfRule>
  </conditionalFormatting>
  <conditionalFormatting sqref="AE136:AI136">
    <cfRule type="expression" dxfId="30" priority="387">
      <formula>ISBLANK(AE136)</formula>
    </cfRule>
  </conditionalFormatting>
  <conditionalFormatting sqref="AE6:AK6">
    <cfRule type="cellIs" dxfId="29" priority="1" operator="equal">
      <formula>0</formula>
    </cfRule>
  </conditionalFormatting>
  <conditionalFormatting sqref="AF7">
    <cfRule type="expression" dxfId="28" priority="145">
      <formula>ISBLANK(AF7)</formula>
    </cfRule>
  </conditionalFormatting>
  <conditionalFormatting sqref="AF198:AJ199">
    <cfRule type="cellIs" dxfId="27" priority="35" operator="equal">
      <formula>0</formula>
    </cfRule>
  </conditionalFormatting>
  <conditionalFormatting sqref="AG14:AG15">
    <cfRule type="expression" dxfId="26" priority="285">
      <formula>ISBLANK(AG14)</formula>
    </cfRule>
  </conditionalFormatting>
  <conditionalFormatting sqref="AG15">
    <cfRule type="cellIs" priority="284" stopIfTrue="1" operator="greaterThan">
      <formula>0</formula>
    </cfRule>
  </conditionalFormatting>
  <conditionalFormatting sqref="AG17 AJ17">
    <cfRule type="expression" dxfId="25" priority="205">
      <formula>ISBLANK(AG17)</formula>
    </cfRule>
    <cfRule type="expression" priority="204" stopIfTrue="1">
      <formula>$AM$17=2</formula>
    </cfRule>
  </conditionalFormatting>
  <conditionalFormatting sqref="AG39 AJ39">
    <cfRule type="cellIs" priority="186" stopIfTrue="1" operator="greaterThan">
      <formula>0</formula>
    </cfRule>
    <cfRule type="expression" priority="187" stopIfTrue="1">
      <formula>$AM$39=2</formula>
    </cfRule>
    <cfRule type="expression" priority="185" stopIfTrue="1">
      <formula>$AM$38=2</formula>
    </cfRule>
    <cfRule type="expression" dxfId="24" priority="188">
      <formula>ISBLANK(AG39)</formula>
    </cfRule>
  </conditionalFormatting>
  <conditionalFormatting sqref="AG77">
    <cfRule type="expression" priority="428" stopIfTrue="1">
      <formula>$AN$77=1</formula>
    </cfRule>
    <cfRule type="expression" dxfId="23" priority="479">
      <formula>$AP$77=2</formula>
    </cfRule>
  </conditionalFormatting>
  <conditionalFormatting sqref="AG81">
    <cfRule type="expression" dxfId="22" priority="421">
      <formula>$AP$81=2</formula>
    </cfRule>
  </conditionalFormatting>
  <conditionalFormatting sqref="AG82">
    <cfRule type="expression" dxfId="21" priority="419">
      <formula>$AP$82=2</formula>
    </cfRule>
  </conditionalFormatting>
  <conditionalFormatting sqref="AG84">
    <cfRule type="expression" dxfId="20" priority="409">
      <formula>$AP$84=2</formula>
    </cfRule>
  </conditionalFormatting>
  <conditionalFormatting sqref="AG85">
    <cfRule type="expression" dxfId="19" priority="435">
      <formula>$AP$85=2</formula>
    </cfRule>
  </conditionalFormatting>
  <conditionalFormatting sqref="AG86">
    <cfRule type="expression" dxfId="18" priority="433">
      <formula>$AP$86=2</formula>
    </cfRule>
  </conditionalFormatting>
  <conditionalFormatting sqref="AG18:AK18">
    <cfRule type="cellIs" priority="318" stopIfTrue="1" operator="greaterThan">
      <formula>0</formula>
    </cfRule>
    <cfRule type="expression" dxfId="17" priority="319">
      <formula>$AN$18=2</formula>
    </cfRule>
  </conditionalFormatting>
  <conditionalFormatting sqref="AG27:AK27">
    <cfRule type="cellIs" priority="25" stopIfTrue="1" operator="greaterThan">
      <formula>0</formula>
    </cfRule>
    <cfRule type="expression" dxfId="16" priority="26">
      <formula>$AN$27=2</formula>
    </cfRule>
  </conditionalFormatting>
  <conditionalFormatting sqref="AG54:AK55">
    <cfRule type="cellIs" dxfId="15" priority="364" operator="equal">
      <formula>0</formula>
    </cfRule>
  </conditionalFormatting>
  <conditionalFormatting sqref="AG100:AK101">
    <cfRule type="cellIs" dxfId="14" priority="363" operator="equal">
      <formula>0</formula>
    </cfRule>
  </conditionalFormatting>
  <conditionalFormatting sqref="AG146:AK147">
    <cfRule type="cellIs" dxfId="13" priority="352" operator="equal">
      <formula>0</formula>
    </cfRule>
  </conditionalFormatting>
  <conditionalFormatting sqref="AH46 AC50:AE51 AH50:AJ51">
    <cfRule type="expression" dxfId="12" priority="170">
      <formula>ISBLANK(AC46)</formula>
    </cfRule>
  </conditionalFormatting>
  <conditionalFormatting sqref="AH47:AJ48 Z48">
    <cfRule type="expression" dxfId="11" priority="165">
      <formula>ISBLANK(Z47)</formula>
    </cfRule>
    <cfRule type="cellIs" priority="164" stopIfTrue="1" operator="greaterThan">
      <formula>0</formula>
    </cfRule>
  </conditionalFormatting>
  <conditionalFormatting sqref="AH50:AJ50">
    <cfRule type="cellIs" dxfId="10" priority="154" operator="greaterThan">
      <formula>96</formula>
    </cfRule>
  </conditionalFormatting>
  <conditionalFormatting sqref="AH50:AJ51 AH46 AC50:AE51">
    <cfRule type="cellIs" priority="169" stopIfTrue="1" operator="greaterThan">
      <formula>0</formula>
    </cfRule>
  </conditionalFormatting>
  <conditionalFormatting sqref="AH51:AJ51">
    <cfRule type="cellIs" dxfId="9" priority="153" operator="greaterThan">
      <formula>12</formula>
    </cfRule>
  </conditionalFormatting>
  <conditionalFormatting sqref="AH109:AK114">
    <cfRule type="expression" dxfId="8" priority="33">
      <formula>$AM109=1</formula>
    </cfRule>
    <cfRule type="expression" dxfId="7" priority="138">
      <formula>$AN109=1</formula>
    </cfRule>
    <cfRule type="expression" dxfId="6" priority="139">
      <formula>$AO109=1</formula>
    </cfRule>
  </conditionalFormatting>
  <conditionalFormatting sqref="AH116:AK121">
    <cfRule type="expression" dxfId="5" priority="32">
      <formula>ISBLANK($AH116)</formula>
    </cfRule>
    <cfRule type="expression" dxfId="4" priority="135">
      <formula>$AS116=1</formula>
    </cfRule>
    <cfRule type="expression" dxfId="3" priority="136">
      <formula>$AQ116=1</formula>
    </cfRule>
    <cfRule type="expression" dxfId="2" priority="137">
      <formula>$AR116=1</formula>
    </cfRule>
  </conditionalFormatting>
  <conditionalFormatting sqref="AI72 AF72">
    <cfRule type="expression" dxfId="1" priority="3">
      <formula>$AN$72=1</formula>
    </cfRule>
  </conditionalFormatting>
  <conditionalFormatting sqref="AI72">
    <cfRule type="expression" dxfId="0" priority="2">
      <formula>$AO$72=2</formula>
    </cfRule>
  </conditionalFormatting>
  <pageMargins left="0.2" right="0.2" top="0.5" bottom="0.25" header="0.3" footer="0.3"/>
  <pageSetup orientation="portrait" r:id="rId1"/>
  <rowBreaks count="3" manualBreakCount="3">
    <brk id="53" max="16383" man="1"/>
    <brk id="99" max="16383" man="1"/>
    <brk id="145" max="16383" man="1"/>
  </rowBreaks>
  <colBreaks count="1" manualBreakCount="1">
    <brk id="45" max="1048575" man="1"/>
  </colBreaks>
  <drawing r:id="rId2"/>
  <legacyDrawing r:id="rId3"/>
  <legacyDrawingHF r:id="rId4"/>
  <extLst>
    <ext xmlns:x14="http://schemas.microsoft.com/office/spreadsheetml/2009/9/main" uri="{CCE6A557-97BC-4b89-ADB6-D9C93CAAB3DF}">
      <x14:dataValidations xmlns:xm="http://schemas.microsoft.com/office/excel/2006/main" count="4">
        <x14:dataValidation type="list" allowBlank="1" showInputMessage="1" showErrorMessage="1" xr:uid="{51C0DC14-5C5B-497E-ADE8-E14CEC9C6FC0}">
          <x14:formula1>
            <xm:f>Tables!$D$2:$D$10</xm:f>
          </x14:formula1>
          <xm:sqref>Y60 Y36 Z46 Y40 Y30</xm:sqref>
        </x14:dataValidation>
        <x14:dataValidation type="list" allowBlank="1" showInputMessage="1" showErrorMessage="1" xr:uid="{15328467-34E1-4429-BBED-E9EF3D4805F6}">
          <x14:formula1>
            <xm:f>Tables!$F$2:$F$7</xm:f>
          </x14:formula1>
          <xm:sqref>AH60 AH46 AH40 H52:H56 W52:Y56</xm:sqref>
        </x14:dataValidation>
        <x14:dataValidation type="list" allowBlank="1" showInputMessage="1" showErrorMessage="1" xr:uid="{64216A89-3628-4662-B5C6-D5F8088EE96C}">
          <x14:formula1>
            <xm:f>Tables!$H$9:$H$14</xm:f>
          </x14:formula1>
          <xm:sqref>AA69:AI69</xm:sqref>
        </x14:dataValidation>
        <x14:dataValidation type="custom" allowBlank="1" showInputMessage="1" showErrorMessage="1" errorTitle="Workbook Locked" error="On the Instructions Tab, accept the conditions to use this form._x000a__x000a_                     OR_x000a__x000a_This form has expired.  Please obtain the latest version of this form." xr:uid="{1FC5F858-7647-4605-924B-0C810A9E179C}">
          <x14:formula1>
            <xm:f>Tables!$B$8</xm:f>
          </x14:formula1>
          <xm:sqref>AC188:AG188 G10 N10 Z10 AH10 AG14:AI15 AJ17 AG17 Y18 AB18 AG18:AK18 AB21:AD25 AG21:AI25 Y27 AB27 AG27:AK27 AB29 AB32:AD33 AG32:AI33 AG36:AI37 AB38 AG39 AJ39 Y41:AA43 AH42:AJ43 Z47:AB48 AH47:AJ48 AC50:AE51 AH50:AJ51 Y61:AA62 Z59 AC59 AG61:AJ62 AD65:AG66 X70:Y70 X72:Y72 AE70:AF70 AF72 AI72 V77:X90 AA77:AD90 AG77:AJ90 AD105:AF105 I116:L121 N116:Q121 S116:V121 X116:AA121 AC116:AF121 AH116:AK121 B124:AK129 F132:V136 Z134:AC134 AH134:AK134 AE136:AI136 AD138 Z141:AC141 AH141:AK141 AE142:AK142 AE143:AI143 F139:V143 C152 C154 C156 C158 C160 C162 C164 C166 C168 C170 C172 C174 E174 E172 E170 E168 E166 E164 E162 E160 E158 E156 E154 E152 Y154:Z154 Y156:Z156 Y158:Z158 Y160:Z160 Y162:Z162 Y164:Z164 Y166:Z166 Y168:Z168 Y170:Z170 Y172:Z172 Y174:Z174 AC174:AI174 AC172:AI172 AC170:AI170 AC168:AI168 AC166:AI166 AC164:AI164 AC162:AI162 AC160:AI160 AC158:AI158 AC156:AI156 AC154:AI154 E181:Y183 E184:K184 E185:Y185 E186:I186 O184:R184 W184:Y184 AF7:AK7 AE6:AK6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9</vt:i4>
      </vt:variant>
    </vt:vector>
  </HeadingPairs>
  <TitlesOfParts>
    <vt:vector size="14" baseType="lpstr">
      <vt:lpstr>License</vt:lpstr>
      <vt:lpstr>General Instructions</vt:lpstr>
      <vt:lpstr>Form 2F.1 - Design</vt:lpstr>
      <vt:lpstr>Form 2F.2 - Design Attachment</vt:lpstr>
      <vt:lpstr>Form 3F - As-built</vt:lpstr>
      <vt:lpstr>'Form 2F.1 - Design'!_Hlk16666466</vt:lpstr>
      <vt:lpstr>Material</vt:lpstr>
      <vt:lpstr>'Form 2F.1 - Design'!Print_Area</vt:lpstr>
      <vt:lpstr>'Form 2F.2 - Design Attachment'!Print_Area</vt:lpstr>
      <vt:lpstr>'Form 3F - As-built'!Print_Area</vt:lpstr>
      <vt:lpstr>'Form 2F.1 - Design'!Print_Titles</vt:lpstr>
      <vt:lpstr>'Form 2F.2 - Design Attachment'!Print_Titles</vt:lpstr>
      <vt:lpstr>'Form 3F - As-built'!Print_Titles</vt:lpstr>
      <vt:lpstr>Shape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Dewayne Smith</dc:creator>
  <cp:lastModifiedBy>Dewayne Smith</cp:lastModifiedBy>
  <cp:lastPrinted>2025-10-10T15:02:50Z</cp:lastPrinted>
  <dcterms:created xsi:type="dcterms:W3CDTF">2021-11-21T16:55:43Z</dcterms:created>
  <dcterms:modified xsi:type="dcterms:W3CDTF">2025-10-19T14:56:12Z</dcterms:modified>
</cp:coreProperties>
</file>