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C22C3538-CC08-48EF-8493-F900D8542A15}" xr6:coauthVersionLast="47" xr6:coauthVersionMax="47" xr10:uidLastSave="{00000000-0000-0000-0000-000000000000}"/>
  <workbookProtection workbookAlgorithmName="SHA-512" workbookHashValue="TxW1FEM2haRGh8KXnvSaBf7MUMjlpwxM0Eu+2dcL8VQAAoQ9dZKLM/64dY99PcDhj7I7Lj30mSW7t4SgL1F28g==" workbookSaltValue="vbKjt68QouqEKxVcWiSWiQ==" workbookSpinCount="100000" lockStructure="1"/>
  <bookViews>
    <workbookView xWindow="-15060" yWindow="-16320" windowWidth="29040" windowHeight="15840" tabRatio="647" firstSheet="1" activeTab="1" xr2:uid="{994EC860-6224-46C4-B304-9868EEFCD4CE}"/>
  </bookViews>
  <sheets>
    <sheet name="Tables" sheetId="2" state="veryHidden" r:id="rId1"/>
    <sheet name="License" sheetId="4" r:id="rId2"/>
    <sheet name="General Instructions" sheetId="11" r:id="rId3"/>
    <sheet name="Form 2C.1 - Design" sheetId="5" r:id="rId4"/>
    <sheet name="Form 2C.2 - Design Attachment" sheetId="10" r:id="rId5"/>
    <sheet name="Form 3C - As-built" sheetId="6" r:id="rId6"/>
  </sheets>
  <definedNames>
    <definedName name="Logo">INDEX(Tables!$F$40:$F$45,MATCH(Tables!$F$14,Tables!$E$40:$E$45,0))</definedName>
    <definedName name="Material">Tables!$D$2:$D$10</definedName>
    <definedName name="_xlnm.Print_Area" localSheetId="3">'Form 2C.1 - Design'!$A$1:$AK$254</definedName>
    <definedName name="_xlnm.Print_Area" localSheetId="4">'Form 2C.2 - Design Attachment'!$A$1:$AK$110</definedName>
    <definedName name="_xlnm.Print_Area" localSheetId="5">'Form 3C - As-built'!$A$1:$AL$251</definedName>
    <definedName name="_xlnm.Print_Titles" localSheetId="3">'Form 2C.1 - Design'!$1:$4</definedName>
    <definedName name="_xlnm.Print_Titles" localSheetId="4">'Form 2C.2 - Design Attachment'!$1:$4</definedName>
    <definedName name="_xlnm.Print_Titles" localSheetId="5">'Form 3C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M206" i="5"/>
  <c r="I207" i="5" s="1"/>
  <c r="AL206" i="5"/>
  <c r="AN83" i="6"/>
  <c r="AL196" i="5" l="1"/>
  <c r="AM194" i="5"/>
  <c r="AL194" i="5"/>
  <c r="AM192" i="5"/>
  <c r="AL192" i="5"/>
  <c r="AP52" i="10"/>
  <c r="AO52" i="10"/>
  <c r="AN52" i="10"/>
  <c r="AM52" i="10"/>
  <c r="AM51" i="10"/>
  <c r="AP50" i="10"/>
  <c r="AO50" i="10"/>
  <c r="AN50" i="10"/>
  <c r="AM50" i="10"/>
  <c r="AM49" i="10"/>
  <c r="AP48" i="10"/>
  <c r="AO48" i="10"/>
  <c r="AN48" i="10"/>
  <c r="AM48" i="10"/>
  <c r="AM47" i="10"/>
  <c r="AP46" i="10"/>
  <c r="AO46" i="10"/>
  <c r="AN46" i="10"/>
  <c r="AM46" i="10"/>
  <c r="AM45" i="10"/>
  <c r="AP44" i="10"/>
  <c r="AO44" i="10"/>
  <c r="AN44" i="10"/>
  <c r="AM44" i="10"/>
  <c r="AM43" i="10"/>
  <c r="AP42" i="10"/>
  <c r="AO42" i="10"/>
  <c r="AN42" i="10"/>
  <c r="AM42" i="10"/>
  <c r="AM41" i="10"/>
  <c r="AP40" i="10"/>
  <c r="AO40" i="10"/>
  <c r="AN40" i="10"/>
  <c r="AM40" i="10"/>
  <c r="AM39" i="10"/>
  <c r="AP38" i="10"/>
  <c r="AO38" i="10"/>
  <c r="AN38" i="10"/>
  <c r="AM38" i="10"/>
  <c r="AM37" i="10"/>
  <c r="AP36" i="10"/>
  <c r="AO36" i="10"/>
  <c r="AN36" i="10"/>
  <c r="AM36" i="10"/>
  <c r="AM35" i="10"/>
  <c r="AP34" i="10"/>
  <c r="AO34" i="10"/>
  <c r="AN34" i="10"/>
  <c r="AM34" i="10"/>
  <c r="AM33" i="10"/>
  <c r="AP32" i="10"/>
  <c r="AO32" i="10"/>
  <c r="AN32" i="10"/>
  <c r="AM32" i="10"/>
  <c r="AM31" i="10"/>
  <c r="AP30" i="10"/>
  <c r="AO30" i="10"/>
  <c r="AN30" i="10"/>
  <c r="AM30" i="10"/>
  <c r="AM29" i="10"/>
  <c r="AP28" i="10"/>
  <c r="AO28" i="10"/>
  <c r="AN28" i="10"/>
  <c r="AM28" i="10"/>
  <c r="AM27" i="10"/>
  <c r="AP26" i="10"/>
  <c r="AO26" i="10"/>
  <c r="AN26" i="10"/>
  <c r="AM26" i="10"/>
  <c r="AM25" i="10"/>
  <c r="AP24" i="10"/>
  <c r="AO24" i="10"/>
  <c r="AN24" i="10"/>
  <c r="AM24" i="10"/>
  <c r="F38" i="2" l="1"/>
  <c r="B6" i="11"/>
  <c r="B34" i="11" s="1"/>
  <c r="B35" i="11" s="1"/>
  <c r="O1" i="4"/>
  <c r="O2" i="4"/>
  <c r="F37" i="2"/>
  <c r="F33" i="2"/>
  <c r="AP182" i="5" s="1"/>
  <c r="F32" i="2"/>
  <c r="AO182" i="5" s="1"/>
  <c r="F30" i="2"/>
  <c r="F29" i="2"/>
  <c r="F28" i="2"/>
  <c r="F27" i="2"/>
  <c r="F26" i="2"/>
  <c r="F25" i="2"/>
  <c r="F24" i="2"/>
  <c r="F23" i="2"/>
  <c r="F22" i="4" s="1"/>
  <c r="F22" i="2"/>
  <c r="F21" i="2"/>
  <c r="F20" i="2"/>
  <c r="F19" i="2"/>
  <c r="F18" i="2"/>
  <c r="F17" i="2"/>
  <c r="F16" i="2"/>
  <c r="F15" i="2"/>
  <c r="M22" i="2"/>
  <c r="M19" i="2"/>
  <c r="B7" i="2"/>
  <c r="B2" i="2"/>
  <c r="B6" i="2" s="1"/>
  <c r="A2" i="4"/>
  <c r="T10" i="10"/>
  <c r="T9" i="10"/>
  <c r="AE10" i="10"/>
  <c r="AE7" i="10"/>
  <c r="E8" i="10"/>
  <c r="E7" i="10"/>
  <c r="AT182" i="5"/>
  <c r="AM190" i="5"/>
  <c r="AL190" i="5"/>
  <c r="AM188" i="5"/>
  <c r="AL188" i="5"/>
  <c r="AM186" i="5"/>
  <c r="AL186" i="5"/>
  <c r="AM184" i="5"/>
  <c r="AL184" i="5"/>
  <c r="Q106" i="6"/>
  <c r="N106" i="6"/>
  <c r="E106" i="6"/>
  <c r="L104" i="6"/>
  <c r="E104" i="6"/>
  <c r="H103" i="6"/>
  <c r="AO106" i="6"/>
  <c r="AN106" i="6"/>
  <c r="AM106" i="6"/>
  <c r="AN104" i="6"/>
  <c r="AM104" i="6"/>
  <c r="AM103" i="6"/>
  <c r="AP144" i="5"/>
  <c r="AO144" i="5"/>
  <c r="AN144" i="5"/>
  <c r="AM144" i="5"/>
  <c r="AL144" i="5"/>
  <c r="AP142" i="5"/>
  <c r="AO142" i="5"/>
  <c r="L238" i="5" s="1"/>
  <c r="AL142" i="5"/>
  <c r="R22" i="2"/>
  <c r="F34" i="2" s="1"/>
  <c r="AX20" i="5" s="1"/>
  <c r="Q22" i="2"/>
  <c r="P22" i="2"/>
  <c r="O22" i="2"/>
  <c r="N22" i="2"/>
  <c r="R19" i="2"/>
  <c r="F31" i="2" s="1"/>
  <c r="Q19" i="2"/>
  <c r="P19" i="2"/>
  <c r="O19" i="2"/>
  <c r="N19" i="2"/>
  <c r="AR177" i="5" l="1"/>
  <c r="AX21" i="5" s="1"/>
  <c r="AD10" i="5"/>
  <c r="AX18" i="5"/>
  <c r="I198" i="5"/>
  <c r="AX19" i="5"/>
  <c r="F32" i="4"/>
  <c r="F7" i="4"/>
  <c r="F29" i="4"/>
  <c r="F13" i="4"/>
  <c r="U196" i="5"/>
  <c r="U194" i="5"/>
  <c r="O192" i="5"/>
  <c r="AS182" i="5"/>
  <c r="AS177" i="5" s="1"/>
  <c r="AS180" i="5"/>
  <c r="B8" i="2"/>
  <c r="AM142" i="5"/>
  <c r="Y136" i="6"/>
  <c r="Y137" i="6"/>
  <c r="Y138" i="6"/>
  <c r="Y139" i="6"/>
  <c r="Y140" i="6"/>
  <c r="Y135" i="6"/>
  <c r="AP198" i="5"/>
  <c r="AO198" i="5"/>
  <c r="AN198" i="5"/>
  <c r="AR138" i="6" s="1"/>
  <c r="AM198" i="5"/>
  <c r="AL198" i="5"/>
  <c r="AN65" i="5"/>
  <c r="L235" i="5"/>
  <c r="AL235" i="5" s="1"/>
  <c r="AT143" i="6"/>
  <c r="AT145" i="6"/>
  <c r="AT146" i="6"/>
  <c r="AT147" i="6"/>
  <c r="AT142" i="6"/>
  <c r="AJ178" i="5" l="1"/>
  <c r="F3" i="4"/>
  <c r="AQ198" i="5"/>
  <c r="AS100" i="6"/>
  <c r="AS99" i="6"/>
  <c r="L232" i="6" l="1"/>
  <c r="AM232" i="6" s="1"/>
  <c r="AR140" i="5"/>
  <c r="AR138" i="5"/>
  <c r="AR163" i="5"/>
  <c r="AR164" i="5"/>
  <c r="AR165" i="5"/>
  <c r="AR166" i="5"/>
  <c r="AR167" i="5"/>
  <c r="AR162" i="5"/>
  <c r="L242" i="5" l="1"/>
  <c r="AL242" i="5" s="1"/>
  <c r="AR161" i="5"/>
  <c r="J21" i="5" l="1"/>
  <c r="AL17" i="5" s="1"/>
  <c r="AM15" i="5"/>
  <c r="AM14" i="5"/>
  <c r="AL14" i="5"/>
  <c r="AM16" i="5" l="1"/>
  <c r="W17" i="5"/>
  <c r="AN142" i="6"/>
  <c r="N21" i="5" l="1"/>
  <c r="I39" i="5"/>
  <c r="I26" i="5"/>
  <c r="AP15" i="5"/>
  <c r="N18" i="5"/>
  <c r="N16" i="5"/>
  <c r="N20" i="5"/>
  <c r="AE15" i="5"/>
  <c r="AP14" i="5"/>
  <c r="N17" i="5"/>
  <c r="N19" i="5"/>
  <c r="AE14" i="5"/>
  <c r="AA17" i="5"/>
  <c r="AO177" i="5"/>
  <c r="AO176" i="5"/>
  <c r="AO175" i="5"/>
  <c r="AO174" i="5"/>
  <c r="AO173" i="5"/>
  <c r="AO172" i="5"/>
  <c r="AQ182" i="5" s="1"/>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10"/>
  <c r="F35" i="2" l="1"/>
  <c r="F36" i="2" s="1"/>
  <c r="AP180" i="5"/>
  <c r="AP16" i="5"/>
  <c r="AQ137" i="6"/>
  <c r="AQ204" i="6"/>
  <c r="AQ202" i="6"/>
  <c r="AQ200" i="6"/>
  <c r="AQ198" i="6"/>
  <c r="AQ196" i="6"/>
  <c r="AQ194" i="6"/>
  <c r="AQ192" i="6"/>
  <c r="AQ190" i="6"/>
  <c r="AQ188" i="6"/>
  <c r="AQ186" i="6"/>
  <c r="AQ184" i="6"/>
  <c r="J15" i="2" l="1"/>
  <c r="J16" i="2"/>
  <c r="AQ180" i="5"/>
  <c r="AE17" i="5"/>
  <c r="W20" i="5"/>
  <c r="AO180" i="5"/>
  <c r="AQ182" i="6"/>
  <c r="AQ136" i="6" l="1"/>
  <c r="AP139" i="6"/>
  <c r="B27" i="6"/>
  <c r="B15" i="6"/>
  <c r="O25" i="6"/>
  <c r="P24" i="6"/>
  <c r="F25" i="6"/>
  <c r="J24" i="6"/>
  <c r="AM24" i="6"/>
  <c r="AN131" i="5"/>
  <c r="AN129" i="5"/>
  <c r="AM131" i="5"/>
  <c r="AM129" i="5"/>
  <c r="AM70" i="5" l="1"/>
  <c r="AL70" i="5"/>
  <c r="AL72" i="5"/>
  <c r="AM72" i="5"/>
  <c r="AM69" i="5"/>
  <c r="AF226" i="6"/>
  <c r="AM200" i="5" l="1"/>
  <c r="AH139" i="6" l="1"/>
  <c r="K92" i="6" l="1"/>
  <c r="G92" i="6"/>
  <c r="J65" i="6"/>
  <c r="P69" i="6"/>
  <c r="P68" i="6"/>
  <c r="F69" i="6"/>
  <c r="F66" i="6"/>
  <c r="P63" i="6"/>
  <c r="P62" i="6"/>
  <c r="K63" i="6"/>
  <c r="K62" i="6"/>
  <c r="F63" i="6"/>
  <c r="F62" i="6"/>
  <c r="B63" i="6"/>
  <c r="B62" i="6"/>
  <c r="F61" i="6"/>
  <c r="K61" i="6"/>
  <c r="P61" i="6"/>
  <c r="B61" i="6"/>
  <c r="O66" i="6"/>
  <c r="P65" i="6"/>
  <c r="AN59" i="6"/>
  <c r="AN62" i="6" s="1"/>
  <c r="AM115" i="5"/>
  <c r="AL115" i="5"/>
  <c r="AM113" i="5"/>
  <c r="AL113" i="5"/>
  <c r="AM106" i="5"/>
  <c r="AL106" i="5"/>
  <c r="AN104" i="5"/>
  <c r="AM104" i="5"/>
  <c r="AM102" i="5"/>
  <c r="AL102" i="5"/>
  <c r="AN100" i="5"/>
  <c r="AM100" i="5"/>
  <c r="AM98" i="5"/>
  <c r="AL98" i="5"/>
  <c r="AN96" i="5"/>
  <c r="AM96" i="5"/>
  <c r="AV10" i="5"/>
  <c r="AV13" i="5" s="1"/>
  <c r="AV15" i="5" s="1"/>
  <c r="AV17" i="5" l="1"/>
  <c r="AV22" i="5" s="1"/>
  <c r="AV26" i="5" s="1"/>
  <c r="AV28" i="5" s="1"/>
  <c r="AV30" i="5" s="1"/>
  <c r="AV35" i="5" s="1"/>
  <c r="AV36" i="5" s="1"/>
  <c r="AV38" i="5" s="1"/>
  <c r="AV43" i="5" s="1"/>
  <c r="AN61" i="6"/>
  <c r="AN63" i="6"/>
  <c r="AM182" i="5" l="1"/>
  <c r="AL182" i="5"/>
  <c r="AP200" i="6"/>
  <c r="AN200" i="6"/>
  <c r="AM200" i="6"/>
  <c r="AP198" i="6"/>
  <c r="AN198" i="6"/>
  <c r="AM198" i="6"/>
  <c r="AP196" i="6"/>
  <c r="AN196" i="6"/>
  <c r="AM196" i="6"/>
  <c r="AL42" i="5"/>
  <c r="AL29" i="5"/>
  <c r="AN182" i="5" l="1"/>
  <c r="AP137" i="6"/>
  <c r="AO146" i="6"/>
  <c r="AO147" i="6"/>
  <c r="AL166" i="5"/>
  <c r="AL167" i="5"/>
  <c r="AL159" i="5"/>
  <c r="AM204" i="5"/>
  <c r="AL204" i="5"/>
  <c r="AM202" i="5"/>
  <c r="AL202" i="5"/>
  <c r="AL200" i="5"/>
  <c r="AM180" i="5"/>
  <c r="AP136" i="6" s="1"/>
  <c r="AL180" i="5"/>
  <c r="AL23" i="5"/>
  <c r="B110" i="10"/>
  <c r="B63" i="10"/>
  <c r="AE64" i="10"/>
  <c r="D64" i="10"/>
  <c r="R54" i="10"/>
  <c r="K54" i="10"/>
  <c r="AP20" i="10"/>
  <c r="AO20" i="10"/>
  <c r="AM67" i="10" s="1"/>
  <c r="AN20" i="10"/>
  <c r="AM20" i="10"/>
  <c r="AP18" i="10"/>
  <c r="AO18" i="10"/>
  <c r="AN18" i="10"/>
  <c r="AM18" i="10"/>
  <c r="AP16" i="10"/>
  <c r="AO16" i="10"/>
  <c r="AN16" i="10"/>
  <c r="AM16" i="10"/>
  <c r="AN14" i="10"/>
  <c r="AM14" i="10"/>
  <c r="AP12" i="10"/>
  <c r="AO12" i="10"/>
  <c r="AN12" i="10"/>
  <c r="AM12" i="10"/>
  <c r="AP11" i="10"/>
  <c r="AO11" i="10"/>
  <c r="AN11" i="10"/>
  <c r="AM11" i="10"/>
  <c r="BD1" i="10"/>
  <c r="AQ162" i="5"/>
  <c r="AO14" i="10" l="1"/>
  <c r="AQ11" i="10"/>
  <c r="R55" i="10"/>
  <c r="Y55" i="10"/>
  <c r="AP163" i="5"/>
  <c r="AP164" i="5"/>
  <c r="AP162" i="5"/>
  <c r="AP167" i="5"/>
  <c r="AP166" i="5"/>
  <c r="AP165" i="5"/>
  <c r="AR137" i="6"/>
  <c r="AN180" i="5"/>
  <c r="AN204" i="5"/>
  <c r="AS142" i="6"/>
  <c r="AN162" i="5"/>
  <c r="G140" i="6"/>
  <c r="G139" i="6"/>
  <c r="G138" i="6"/>
  <c r="G137" i="6"/>
  <c r="G136" i="6"/>
  <c r="G135" i="6"/>
  <c r="G147" i="6"/>
  <c r="G146" i="6"/>
  <c r="G145" i="6"/>
  <c r="G144" i="6"/>
  <c r="G143" i="6"/>
  <c r="G142" i="6"/>
  <c r="G167" i="5"/>
  <c r="G166" i="5"/>
  <c r="G165" i="5"/>
  <c r="G164" i="5"/>
  <c r="G163" i="5"/>
  <c r="G162" i="5"/>
  <c r="J47" i="5"/>
  <c r="J46" i="5"/>
  <c r="J45" i="5"/>
  <c r="J44" i="5"/>
  <c r="J43" i="5"/>
  <c r="J42" i="5"/>
  <c r="J34" i="5"/>
  <c r="J33" i="5"/>
  <c r="J32" i="5"/>
  <c r="J31" i="5"/>
  <c r="J30" i="5"/>
  <c r="J29" i="5"/>
  <c r="W21" i="5"/>
  <c r="C142" i="6"/>
  <c r="C136" i="6"/>
  <c r="C144" i="6"/>
  <c r="C145" i="6"/>
  <c r="C139" i="6"/>
  <c r="C147" i="6"/>
  <c r="AW14" i="5"/>
  <c r="AW16" i="5"/>
  <c r="K22" i="10" l="1"/>
  <c r="F23" i="10"/>
  <c r="N24" i="10"/>
  <c r="N28" i="10"/>
  <c r="N36" i="10"/>
  <c r="N44" i="10"/>
  <c r="N52" i="10"/>
  <c r="U32" i="10"/>
  <c r="U40" i="10"/>
  <c r="U48" i="10"/>
  <c r="U42" i="10"/>
  <c r="AB30" i="10"/>
  <c r="AB46" i="10"/>
  <c r="U24" i="10"/>
  <c r="AB24" i="10"/>
  <c r="N32" i="10"/>
  <c r="N40" i="10"/>
  <c r="N48" i="10"/>
  <c r="U28" i="10"/>
  <c r="U36" i="10"/>
  <c r="U44" i="10"/>
  <c r="U52" i="10"/>
  <c r="AB26" i="10"/>
  <c r="U38" i="10"/>
  <c r="AB34" i="10"/>
  <c r="AB28" i="10"/>
  <c r="AB32" i="10"/>
  <c r="AB36" i="10"/>
  <c r="AB40" i="10"/>
  <c r="AB44" i="10"/>
  <c r="AB48" i="10"/>
  <c r="AB52" i="10"/>
  <c r="U30" i="10"/>
  <c r="U50" i="10"/>
  <c r="AB42" i="10"/>
  <c r="AB50" i="10"/>
  <c r="N26" i="10"/>
  <c r="U26" i="10"/>
  <c r="N30" i="10"/>
  <c r="N34" i="10"/>
  <c r="N38" i="10"/>
  <c r="N42" i="10"/>
  <c r="N46" i="10"/>
  <c r="N50" i="10"/>
  <c r="U34" i="10"/>
  <c r="U46" i="10"/>
  <c r="AB38" i="10"/>
  <c r="AB54" i="10"/>
  <c r="N54" i="10"/>
  <c r="U54" i="10"/>
  <c r="AO139" i="6"/>
  <c r="AR145" i="6"/>
  <c r="AR142" i="6"/>
  <c r="AR147" i="6"/>
  <c r="AR146" i="6"/>
  <c r="AR144" i="6"/>
  <c r="AR143" i="6"/>
  <c r="AO165" i="5"/>
  <c r="AO162" i="5"/>
  <c r="AO167" i="5"/>
  <c r="AO166" i="5"/>
  <c r="AO164" i="5"/>
  <c r="AO163" i="5"/>
  <c r="AP161" i="5"/>
  <c r="L251" i="5" s="1"/>
  <c r="J18" i="2"/>
  <c r="J6" i="2"/>
  <c r="AR136" i="6"/>
  <c r="AP138" i="6"/>
  <c r="F29" i="5"/>
  <c r="F31" i="5"/>
  <c r="C138" i="6"/>
  <c r="F44" i="5"/>
  <c r="F45" i="5"/>
  <c r="F46" i="5"/>
  <c r="F32" i="5"/>
  <c r="F47" i="5"/>
  <c r="F33" i="5"/>
  <c r="C166" i="5"/>
  <c r="C135" i="6"/>
  <c r="C137" i="6"/>
  <c r="C146" i="6"/>
  <c r="F42" i="5"/>
  <c r="C140" i="6"/>
  <c r="F30" i="5"/>
  <c r="C162" i="5"/>
  <c r="C163" i="5"/>
  <c r="C143" i="6"/>
  <c r="C164" i="5"/>
  <c r="C165" i="5"/>
  <c r="C167" i="5"/>
  <c r="F43" i="5"/>
  <c r="AQ167" i="5"/>
  <c r="AL244" i="5"/>
  <c r="AP204" i="6"/>
  <c r="AN204" i="6"/>
  <c r="AM204" i="6"/>
  <c r="AP184" i="6"/>
  <c r="AN184" i="6"/>
  <c r="AM184" i="6"/>
  <c r="B250" i="6"/>
  <c r="AN139" i="6" l="1"/>
  <c r="AQ143" i="6"/>
  <c r="AQ144" i="6"/>
  <c r="AQ145" i="6"/>
  <c r="AQ146" i="6"/>
  <c r="AQ147" i="6"/>
  <c r="AQ142" i="6"/>
  <c r="AR141" i="6"/>
  <c r="L242" i="6" s="1"/>
  <c r="L246" i="5"/>
  <c r="AL246" i="5" s="1"/>
  <c r="AO161" i="5"/>
  <c r="L250" i="5" s="1"/>
  <c r="AF8" i="6"/>
  <c r="AM29" i="6"/>
  <c r="AE49" i="6"/>
  <c r="L48" i="6"/>
  <c r="G29" i="6"/>
  <c r="AL251" i="5" l="1"/>
  <c r="AL250" i="5"/>
  <c r="AQ141" i="6"/>
  <c r="L241" i="6" s="1"/>
  <c r="W93" i="5"/>
  <c r="C29" i="6"/>
  <c r="AM241" i="6" l="1"/>
  <c r="AM242" i="6"/>
  <c r="AP202" i="6" l="1"/>
  <c r="AN202" i="6"/>
  <c r="AM202" i="6"/>
  <c r="AP194" i="6"/>
  <c r="AN194" i="6"/>
  <c r="AM194" i="6"/>
  <c r="AP192" i="6"/>
  <c r="AN192" i="6"/>
  <c r="AM192" i="6"/>
  <c r="AP190" i="6"/>
  <c r="AN190" i="6"/>
  <c r="AM190" i="6"/>
  <c r="AP188" i="6"/>
  <c r="AN188" i="6"/>
  <c r="AM188" i="6"/>
  <c r="AP186" i="6"/>
  <c r="AN186" i="6"/>
  <c r="AM186" i="6"/>
  <c r="B253" i="5"/>
  <c r="AM182" i="6" l="1"/>
  <c r="L243" i="6" s="1"/>
  <c r="AM243" i="6" s="1"/>
  <c r="AM155" i="5" l="1"/>
  <c r="AN155" i="5"/>
  <c r="AL127" i="5" l="1"/>
  <c r="AL128" i="5"/>
  <c r="AL129" i="5"/>
  <c r="AL130" i="5"/>
  <c r="AL131" i="5"/>
  <c r="AL132" i="5"/>
  <c r="AL133" i="5"/>
  <c r="AS143" i="6" l="1"/>
  <c r="AS144" i="6" l="1"/>
  <c r="AS145" i="6"/>
  <c r="AS146" i="6"/>
  <c r="AS147" i="6"/>
  <c r="AP145" i="6"/>
  <c r="AP146" i="6"/>
  <c r="AO143" i="6"/>
  <c r="AO144" i="6"/>
  <c r="AO145" i="6"/>
  <c r="AO142" i="6"/>
  <c r="AQ94" i="6"/>
  <c r="AN94" i="6"/>
  <c r="AQ164" i="5"/>
  <c r="AQ165" i="5"/>
  <c r="AQ166" i="5"/>
  <c r="AQ163" i="5"/>
  <c r="AN163" i="5"/>
  <c r="AN164" i="5"/>
  <c r="AN165" i="5"/>
  <c r="AN166" i="5"/>
  <c r="AN167" i="5"/>
  <c r="AM163" i="5"/>
  <c r="AM164" i="5"/>
  <c r="AM165" i="5"/>
  <c r="AM166" i="5"/>
  <c r="AM167" i="5"/>
  <c r="AM162" i="5"/>
  <c r="AL162" i="5"/>
  <c r="AL163" i="5"/>
  <c r="AL164" i="5"/>
  <c r="AL165" i="5"/>
  <c r="AO138" i="5"/>
  <c r="AO137" i="5"/>
  <c r="AL47" i="5"/>
  <c r="AL46" i="5"/>
  <c r="AL45" i="5"/>
  <c r="AL44" i="5"/>
  <c r="AL43" i="5"/>
  <c r="AL34" i="5"/>
  <c r="AL33" i="5"/>
  <c r="AL32" i="5"/>
  <c r="AL31" i="5"/>
  <c r="AL30" i="5"/>
  <c r="AD88" i="6"/>
  <c r="AD87" i="6"/>
  <c r="AD86" i="6"/>
  <c r="AD85" i="6"/>
  <c r="AD84" i="6"/>
  <c r="AD81" i="6"/>
  <c r="N126" i="5"/>
  <c r="L81" i="6" s="1"/>
  <c r="N128" i="5"/>
  <c r="L85" i="6" s="1"/>
  <c r="N129" i="5"/>
  <c r="L86" i="6" s="1"/>
  <c r="N130" i="5"/>
  <c r="L87" i="6" s="1"/>
  <c r="N131" i="5"/>
  <c r="L88" i="6" s="1"/>
  <c r="N132" i="5"/>
  <c r="N133" i="5"/>
  <c r="N127" i="5"/>
  <c r="L84" i="6" s="1"/>
  <c r="AQ133" i="6"/>
  <c r="AP147" i="6" l="1"/>
  <c r="AT144" i="6"/>
  <c r="AT141" i="6" s="1"/>
  <c r="L238" i="6" s="1"/>
  <c r="AM238" i="6" s="1"/>
  <c r="AL161" i="5"/>
  <c r="AO141" i="6"/>
  <c r="AQ161" i="5"/>
  <c r="L249" i="5" s="1"/>
  <c r="AL249" i="5" s="1"/>
  <c r="J12" i="2"/>
  <c r="AM170" i="5"/>
  <c r="J228" i="6"/>
  <c r="AS141" i="6"/>
  <c r="L240" i="6" s="1"/>
  <c r="AP142" i="6"/>
  <c r="AP144" i="6"/>
  <c r="AP143" i="6"/>
  <c r="AL41" i="5"/>
  <c r="AL28" i="5"/>
  <c r="AM6" i="6"/>
  <c r="AM228" i="6" l="1"/>
  <c r="AQ96" i="6"/>
  <c r="AN96" i="6"/>
  <c r="AQ95" i="6"/>
  <c r="AM234" i="6" l="1"/>
  <c r="AO148" i="5"/>
  <c r="AN148" i="5"/>
  <c r="AE212" i="5" l="1"/>
  <c r="AE211" i="5"/>
  <c r="D211" i="5"/>
  <c r="AG208" i="6"/>
  <c r="G15" i="2" l="1"/>
  <c r="AM151" i="6"/>
  <c r="L230" i="6" s="1"/>
  <c r="AM230" i="6" s="1"/>
  <c r="B207" i="6"/>
  <c r="B154" i="6"/>
  <c r="B108" i="6"/>
  <c r="B56" i="6"/>
  <c r="AQ92" i="6"/>
  <c r="AS92" i="6"/>
  <c r="AP92" i="6"/>
  <c r="AM59" i="5"/>
  <c r="B210" i="5"/>
  <c r="B157" i="5"/>
  <c r="B108" i="5"/>
  <c r="B54" i="5"/>
  <c r="W19" i="5" l="1"/>
  <c r="AA20" i="5"/>
  <c r="AN126" i="5"/>
  <c r="L237" i="6"/>
  <c r="L240" i="5"/>
  <c r="AL240" i="5" s="1"/>
  <c r="L245" i="5"/>
  <c r="AL245" i="5" s="1"/>
  <c r="AY38" i="6"/>
  <c r="AA10" i="6"/>
  <c r="AW47" i="6"/>
  <c r="D216" i="5"/>
  <c r="AM75" i="6"/>
  <c r="AM74" i="6"/>
  <c r="AM69" i="6"/>
  <c r="AM68" i="6"/>
  <c r="AM65" i="6"/>
  <c r="I46" i="6"/>
  <c r="AN35" i="6"/>
  <c r="AN33" i="6"/>
  <c r="AM35" i="6"/>
  <c r="AM33" i="6"/>
  <c r="AM31" i="6"/>
  <c r="AN21" i="6"/>
  <c r="AM21" i="6"/>
  <c r="AM19" i="6"/>
  <c r="AM18" i="6"/>
  <c r="AN15" i="6"/>
  <c r="AM27" i="6"/>
  <c r="AM15" i="6"/>
  <c r="J68" i="6"/>
  <c r="N47" i="6"/>
  <c r="N46" i="6"/>
  <c r="N45" i="6"/>
  <c r="N44" i="6"/>
  <c r="I47" i="6"/>
  <c r="I45" i="6"/>
  <c r="I44" i="6"/>
  <c r="N39" i="6"/>
  <c r="N40" i="6"/>
  <c r="N41" i="6"/>
  <c r="N42" i="6"/>
  <c r="N38" i="6"/>
  <c r="I39" i="6"/>
  <c r="I40" i="6"/>
  <c r="I41" i="6"/>
  <c r="I42" i="6"/>
  <c r="I38" i="6"/>
  <c r="N35" i="6"/>
  <c r="N33" i="6"/>
  <c r="I35" i="6"/>
  <c r="F35" i="6"/>
  <c r="I33" i="6"/>
  <c r="F33" i="6"/>
  <c r="G31" i="6"/>
  <c r="N29" i="6"/>
  <c r="C31" i="6"/>
  <c r="O27" i="6"/>
  <c r="K27" i="6"/>
  <c r="P21" i="6"/>
  <c r="P22" i="6"/>
  <c r="F22" i="6"/>
  <c r="J21" i="6"/>
  <c r="N19" i="6"/>
  <c r="N17" i="6"/>
  <c r="N16" i="6"/>
  <c r="G19" i="6"/>
  <c r="G18" i="6"/>
  <c r="G17" i="6"/>
  <c r="G16" i="6"/>
  <c r="N15" i="6"/>
  <c r="AO133" i="5"/>
  <c r="AO135" i="5"/>
  <c r="AL120" i="5" l="1"/>
  <c r="AL119" i="5"/>
  <c r="L49" i="6"/>
  <c r="AM80" i="5"/>
  <c r="AM78" i="5"/>
  <c r="AL80" i="5"/>
  <c r="AL78" i="5"/>
  <c r="AN74" i="5"/>
  <c r="AM66" i="5"/>
  <c r="AL66" i="5"/>
  <c r="AL69" i="5"/>
  <c r="AM68" i="5"/>
  <c r="AL68" i="5"/>
  <c r="AL65" i="5"/>
  <c r="AM61" i="5"/>
  <c r="AL61" i="5"/>
  <c r="AL59" i="5"/>
  <c r="AE110" i="5" l="1"/>
  <c r="AE109" i="5"/>
  <c r="D109" i="5"/>
  <c r="E74" i="6" l="1"/>
  <c r="P24" i="5"/>
  <c r="L24" i="5"/>
  <c r="BG1" i="6" l="1"/>
  <c r="AG155" i="6" l="1"/>
  <c r="AG109" i="6"/>
  <c r="AH140" i="6" l="1"/>
  <c r="AH138" i="6"/>
  <c r="AH137" i="6"/>
  <c r="AH136" i="6"/>
  <c r="AH135" i="6"/>
  <c r="AD140" i="6"/>
  <c r="AD139" i="6"/>
  <c r="AD138" i="6"/>
  <c r="AD137" i="6"/>
  <c r="AD136" i="6"/>
  <c r="AD135" i="6"/>
  <c r="AG57" i="6"/>
  <c r="U140" i="6"/>
  <c r="U139" i="6"/>
  <c r="U138" i="6"/>
  <c r="U137" i="6"/>
  <c r="U136" i="6"/>
  <c r="U135" i="6"/>
  <c r="Q140" i="6"/>
  <c r="Q139" i="6"/>
  <c r="Q138" i="6"/>
  <c r="Q137" i="6"/>
  <c r="Q136" i="6"/>
  <c r="Q135" i="6"/>
  <c r="M140" i="6"/>
  <c r="AN147" i="6" s="1"/>
  <c r="M139" i="6"/>
  <c r="AN146" i="6" s="1"/>
  <c r="M138" i="6"/>
  <c r="AN145" i="6" s="1"/>
  <c r="M137" i="6"/>
  <c r="AN144" i="6" s="1"/>
  <c r="M136" i="6"/>
  <c r="AN143" i="6" s="1"/>
  <c r="M135" i="6"/>
  <c r="M126" i="6"/>
  <c r="M127" i="6"/>
  <c r="M128" i="6"/>
  <c r="M129" i="6"/>
  <c r="M130" i="6"/>
  <c r="M131" i="6"/>
  <c r="G126" i="6"/>
  <c r="G127" i="6"/>
  <c r="G128" i="6"/>
  <c r="G129" i="6"/>
  <c r="G130" i="6"/>
  <c r="G131" i="6"/>
  <c r="B126" i="6"/>
  <c r="B127" i="6"/>
  <c r="B128" i="6"/>
  <c r="B129" i="6"/>
  <c r="B130" i="6"/>
  <c r="B131" i="6"/>
  <c r="M125" i="6"/>
  <c r="G125" i="6"/>
  <c r="B125" i="6"/>
  <c r="M119" i="6"/>
  <c r="M120" i="6"/>
  <c r="M121" i="6"/>
  <c r="M122" i="6"/>
  <c r="M123" i="6"/>
  <c r="M124" i="6"/>
  <c r="M118" i="6"/>
  <c r="G124" i="6"/>
  <c r="G123" i="6"/>
  <c r="G122" i="6"/>
  <c r="G121" i="6"/>
  <c r="G120" i="6"/>
  <c r="G119" i="6"/>
  <c r="G118" i="6"/>
  <c r="B124" i="6"/>
  <c r="B123" i="6"/>
  <c r="B122" i="6"/>
  <c r="B121" i="6"/>
  <c r="B120" i="6"/>
  <c r="B119" i="6"/>
  <c r="B118" i="6"/>
  <c r="Q88" i="6"/>
  <c r="M88" i="6"/>
  <c r="I88" i="6"/>
  <c r="E88" i="6"/>
  <c r="Q87" i="6"/>
  <c r="M87" i="6"/>
  <c r="I87" i="6"/>
  <c r="E87" i="6"/>
  <c r="Q86" i="6"/>
  <c r="M86" i="6"/>
  <c r="I86" i="6"/>
  <c r="E86" i="6"/>
  <c r="Q85" i="6"/>
  <c r="M85" i="6"/>
  <c r="I85" i="6"/>
  <c r="E85" i="6"/>
  <c r="Q84" i="6"/>
  <c r="M84" i="6"/>
  <c r="I84" i="6"/>
  <c r="E84" i="6"/>
  <c r="Q81" i="6"/>
  <c r="M81" i="6"/>
  <c r="I81" i="6"/>
  <c r="E81" i="6"/>
  <c r="B88" i="6"/>
  <c r="B87" i="6"/>
  <c r="B86" i="6"/>
  <c r="B85" i="6"/>
  <c r="B84" i="6"/>
  <c r="Q80" i="6"/>
  <c r="M80" i="6"/>
  <c r="I80" i="6"/>
  <c r="E80" i="6"/>
  <c r="E73" i="6"/>
  <c r="AO135" i="6" l="1"/>
  <c r="AN135" i="6"/>
  <c r="AO136" i="6"/>
  <c r="AN136" i="6"/>
  <c r="AO137" i="6"/>
  <c r="AN137" i="6"/>
  <c r="AO138" i="6"/>
  <c r="AN138" i="6"/>
  <c r="AO140" i="6"/>
  <c r="AN140" i="6"/>
  <c r="N73" i="6"/>
  <c r="AM174" i="6" l="1"/>
  <c r="AP131" i="6"/>
  <c r="AP130" i="6"/>
  <c r="AP129" i="6"/>
  <c r="AP128" i="6"/>
  <c r="AP127" i="6"/>
  <c r="AP126" i="6"/>
  <c r="AP125" i="6"/>
  <c r="AP124" i="6"/>
  <c r="AP123" i="6"/>
  <c r="AP122" i="6"/>
  <c r="AP121" i="6"/>
  <c r="AP120" i="6"/>
  <c r="AP119" i="6"/>
  <c r="AP118" i="6"/>
  <c r="AN118" i="6"/>
  <c r="AM118" i="6"/>
  <c r="AN100" i="6"/>
  <c r="I100" i="6"/>
  <c r="AN99" i="6"/>
  <c r="I99" i="6"/>
  <c r="O96" i="6"/>
  <c r="E96" i="6"/>
  <c r="O95" i="6"/>
  <c r="E95" i="6"/>
  <c r="AN95" i="6"/>
  <c r="AN92" i="6" s="1"/>
  <c r="L229" i="6" s="1"/>
  <c r="O94" i="6"/>
  <c r="E94" i="6"/>
  <c r="AM88" i="6"/>
  <c r="AM87" i="6"/>
  <c r="AM86" i="6"/>
  <c r="AM85" i="6"/>
  <c r="AM84" i="6"/>
  <c r="AM83" i="6"/>
  <c r="H83" i="6"/>
  <c r="E83" i="6"/>
  <c r="AM81" i="6"/>
  <c r="AM80" i="6"/>
  <c r="AM78" i="6"/>
  <c r="H78" i="6"/>
  <c r="E78" i="6"/>
  <c r="M76" i="6"/>
  <c r="E76" i="6"/>
  <c r="M75" i="6"/>
  <c r="E75" i="6"/>
  <c r="E8" i="6"/>
  <c r="E7" i="6"/>
  <c r="D208" i="6" s="1"/>
  <c r="AG156" i="6" l="1"/>
  <c r="AG209" i="6"/>
  <c r="D57" i="6"/>
  <c r="D155" i="6"/>
  <c r="AG110" i="6"/>
  <c r="AP141" i="6"/>
  <c r="AG58" i="6"/>
  <c r="AP100" i="6"/>
  <c r="D109" i="6"/>
  <c r="AM124" i="5"/>
  <c r="L231" i="6" l="1"/>
  <c r="AM231" i="6" s="1"/>
  <c r="L239" i="6"/>
  <c r="AM239" i="6" s="1"/>
  <c r="AM237" i="6"/>
  <c r="AM240" i="6"/>
  <c r="AM229" i="6"/>
  <c r="AN141" i="6"/>
  <c r="F34" i="5"/>
  <c r="L236" i="6" l="1"/>
  <c r="AM236" i="6" s="1"/>
  <c r="AR137" i="5"/>
  <c r="AR135" i="5"/>
  <c r="AO140" i="5"/>
  <c r="AM140" i="5"/>
  <c r="AM138" i="5"/>
  <c r="AM47" i="5"/>
  <c r="AM46" i="5"/>
  <c r="AM45" i="5"/>
  <c r="AM44" i="5"/>
  <c r="AM43" i="5"/>
  <c r="AM42" i="5"/>
  <c r="AM30" i="5"/>
  <c r="AM31" i="5"/>
  <c r="AM32" i="5"/>
  <c r="AM33" i="5"/>
  <c r="AM34" i="5"/>
  <c r="AM29" i="5"/>
  <c r="AM137" i="5"/>
  <c r="AM135" i="5" l="1"/>
  <c r="L239" i="5" s="1"/>
  <c r="AL239" i="5" s="1"/>
  <c r="AR133" i="5"/>
  <c r="I135" i="6"/>
  <c r="AL135" i="5"/>
  <c r="AM118" i="5"/>
  <c r="AB37" i="5"/>
  <c r="X37" i="5"/>
  <c r="T37" i="5"/>
  <c r="P37" i="5"/>
  <c r="L37" i="5"/>
  <c r="AB24" i="5"/>
  <c r="X24" i="5"/>
  <c r="T24" i="5"/>
  <c r="AL149" i="5"/>
  <c r="AM149" i="5"/>
  <c r="AL150" i="5"/>
  <c r="AM150" i="5"/>
  <c r="AL151" i="5"/>
  <c r="AM151" i="5"/>
  <c r="AL152" i="5"/>
  <c r="AM152" i="5"/>
  <c r="AL153" i="5"/>
  <c r="AM153" i="5"/>
  <c r="AL154" i="5"/>
  <c r="AM154" i="5"/>
  <c r="AM148" i="5"/>
  <c r="AL148" i="5"/>
  <c r="AM126" i="5"/>
  <c r="AL126" i="5"/>
  <c r="AL124" i="5"/>
  <c r="AM121" i="5"/>
  <c r="AE159" i="5"/>
  <c r="AE158" i="5"/>
  <c r="D158" i="5"/>
  <c r="AE56" i="5"/>
  <c r="AE55" i="5"/>
  <c r="D55" i="5"/>
  <c r="J113" i="6"/>
  <c r="BG1" i="5"/>
  <c r="AM142" i="6" l="1"/>
  <c r="AM135" i="6"/>
  <c r="AN113" i="6"/>
  <c r="AO113" i="6"/>
  <c r="L233" i="6" s="1"/>
  <c r="AM233" i="6" s="1"/>
  <c r="L241" i="5"/>
  <c r="AL241" i="5" s="1"/>
  <c r="I140" i="6"/>
  <c r="I139" i="6"/>
  <c r="I138" i="6"/>
  <c r="I137" i="6"/>
  <c r="I136" i="6"/>
  <c r="AM28" i="5"/>
  <c r="AM161" i="5"/>
  <c r="L247" i="5" s="1"/>
  <c r="AM41" i="5"/>
  <c r="L237" i="5" s="1"/>
  <c r="L236" i="5" l="1"/>
  <c r="AL236" i="5" s="1"/>
  <c r="AM144" i="6"/>
  <c r="AM137" i="6"/>
  <c r="AM145" i="6"/>
  <c r="AM138" i="6"/>
  <c r="AM146" i="6"/>
  <c r="AM139" i="6"/>
  <c r="AM143" i="6"/>
  <c r="AM136" i="6"/>
  <c r="AM147" i="6"/>
  <c r="AM140" i="6"/>
  <c r="AL247" i="5"/>
  <c r="AL237" i="5"/>
  <c r="H155" i="5"/>
  <c r="AM156" i="5" l="1"/>
  <c r="L243" i="5" s="1"/>
  <c r="AL243" i="5" s="1"/>
  <c r="AN161" i="5"/>
  <c r="L248" i="5" l="1"/>
  <c r="AL248" i="5" s="1"/>
  <c r="AL234" i="5" s="1"/>
  <c r="AM141" i="6"/>
  <c r="L235" i="6" l="1"/>
  <c r="AM235" i="6" s="1"/>
  <c r="AM227"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5B9A1459-A3FB-4ABC-9DF8-67E328BB8B06}">
      <text>
        <r>
          <rPr>
            <b/>
            <sz val="9"/>
            <color indexed="81"/>
            <rFont val="Tahoma"/>
            <family val="2"/>
          </rPr>
          <t>Note:</t>
        </r>
        <r>
          <rPr>
            <sz val="9"/>
            <color indexed="81"/>
            <rFont val="Tahoma"/>
            <family val="2"/>
          </rPr>
          <t xml:space="preserve">
Enter street address of proposed development</t>
        </r>
      </text>
    </comment>
    <comment ref="AE8" authorId="0" shapeId="0" xr:uid="{B2BA6700-D561-4593-BF38-31FCD9F8DDAA}">
      <text>
        <r>
          <rPr>
            <b/>
            <sz val="9"/>
            <color indexed="81"/>
            <rFont val="Tahoma"/>
            <family val="2"/>
          </rPr>
          <t>Note:</t>
        </r>
        <r>
          <rPr>
            <sz val="9"/>
            <color indexed="81"/>
            <rFont val="Tahoma"/>
            <family val="2"/>
          </rPr>
          <t xml:space="preserve">
Provide a unique BMP ID
Examples:
   Pond 1
   Pond A
   1
   A</t>
        </r>
      </text>
    </comment>
    <comment ref="AA15" authorId="0" shapeId="0" xr:uid="{07AB17AE-0D81-4D69-B904-FD6B7EC01556}">
      <text>
        <r>
          <rPr>
            <b/>
            <sz val="9"/>
            <color indexed="81"/>
            <rFont val="Tahoma"/>
            <family val="2"/>
          </rPr>
          <t>Note:</t>
        </r>
        <r>
          <rPr>
            <sz val="9"/>
            <color indexed="81"/>
            <rFont val="Tahoma"/>
            <family val="2"/>
          </rPr>
          <t xml:space="preserve">
If there is no EIA, enter 0</t>
        </r>
      </text>
    </comment>
    <comment ref="L25" authorId="0" shapeId="0" xr:uid="{E5051EA4-79E2-4973-9BE5-755DFED7D3BD}">
      <text>
        <r>
          <rPr>
            <b/>
            <sz val="9"/>
            <color indexed="81"/>
            <rFont val="Tahoma"/>
            <family val="2"/>
          </rPr>
          <t>Note:</t>
        </r>
        <r>
          <rPr>
            <sz val="9"/>
            <color indexed="81"/>
            <rFont val="Tahoma"/>
            <family val="2"/>
          </rPr>
          <t xml:space="preserve">
Enter a unique Basin ID for each subbasin</t>
        </r>
      </text>
    </comment>
    <comment ref="L38" authorId="0" shapeId="0" xr:uid="{0E1E7159-3EE1-4E74-A67D-8E3E34A7F559}">
      <text>
        <r>
          <rPr>
            <b/>
            <sz val="9"/>
            <color indexed="81"/>
            <rFont val="Tahoma"/>
            <family val="2"/>
          </rPr>
          <t>Note:</t>
        </r>
        <r>
          <rPr>
            <sz val="9"/>
            <color indexed="81"/>
            <rFont val="Tahoma"/>
            <family val="2"/>
          </rPr>
          <t xml:space="preserve">
Enter a unique Basin ID for each subbasin</t>
        </r>
      </text>
    </comment>
    <comment ref="R90" authorId="0" shapeId="0" xr:uid="{548CF935-D484-43E8-AE82-4F4F02FB7F40}">
      <text>
        <r>
          <rPr>
            <b/>
            <sz val="9"/>
            <color indexed="81"/>
            <rFont val="Tahoma"/>
            <family val="2"/>
          </rPr>
          <t>Note:</t>
        </r>
        <r>
          <rPr>
            <sz val="9"/>
            <color indexed="81"/>
            <rFont val="Tahoma"/>
            <family val="2"/>
          </rPr>
          <t xml:space="preserve">
Enter the total length of ALL isolator rows</t>
        </r>
      </text>
    </comment>
    <comment ref="W90" authorId="0" shapeId="0" xr:uid="{CDD25E10-36BB-45B6-8252-F124B4DF1253}">
      <text>
        <r>
          <rPr>
            <b/>
            <sz val="9"/>
            <color indexed="81"/>
            <rFont val="Tahoma"/>
            <family val="2"/>
          </rPr>
          <t>Note:</t>
        </r>
        <r>
          <rPr>
            <sz val="9"/>
            <color indexed="81"/>
            <rFont val="Tahoma"/>
            <family val="2"/>
          </rPr>
          <t xml:space="preserve">
Enter the total volume of ALL isolator rows</t>
        </r>
      </text>
    </comment>
    <comment ref="R91" authorId="0" shapeId="0" xr:uid="{1B166FFB-C62B-438D-81E5-9803C39E64A7}">
      <text>
        <r>
          <rPr>
            <b/>
            <sz val="9"/>
            <color indexed="81"/>
            <rFont val="Tahoma"/>
            <family val="2"/>
          </rPr>
          <t>Note:</t>
        </r>
        <r>
          <rPr>
            <sz val="9"/>
            <color indexed="81"/>
            <rFont val="Tahoma"/>
            <family val="2"/>
          </rPr>
          <t xml:space="preserve">
Enter the total length of ALL chamber rows</t>
        </r>
      </text>
    </comment>
    <comment ref="W91" authorId="0" shapeId="0" xr:uid="{AE611A5D-EFE8-481A-93EC-35D3171D24D7}">
      <text>
        <r>
          <rPr>
            <b/>
            <sz val="9"/>
            <color indexed="81"/>
            <rFont val="Tahoma"/>
            <family val="2"/>
          </rPr>
          <t>Note:</t>
        </r>
        <r>
          <rPr>
            <sz val="9"/>
            <color indexed="81"/>
            <rFont val="Tahoma"/>
            <family val="2"/>
          </rPr>
          <t xml:space="preserve">
Enter the total volume of ALL chamber rows</t>
        </r>
      </text>
    </comment>
    <comment ref="C127" authorId="0" shapeId="0" xr:uid="{D8C999FC-11DE-4E3C-8863-0A90B6643236}">
      <text>
        <r>
          <rPr>
            <b/>
            <sz val="9"/>
            <color indexed="81"/>
            <rFont val="Tahoma"/>
            <family val="2"/>
          </rPr>
          <t>Note:</t>
        </r>
        <r>
          <rPr>
            <sz val="9"/>
            <color indexed="81"/>
            <rFont val="Tahoma"/>
            <family val="2"/>
          </rPr>
          <t xml:space="preserve">
Select control structure type:  Orifice or Weir</t>
        </r>
      </text>
    </comment>
    <comment ref="O140" authorId="0" shapeId="0" xr:uid="{ED441B8B-F4E8-4DFF-B2B4-4A1C36B63B77}">
      <text>
        <r>
          <rPr>
            <b/>
            <sz val="9"/>
            <color indexed="81"/>
            <rFont val="Tahoma"/>
            <family val="2"/>
          </rPr>
          <t>Note:</t>
        </r>
        <r>
          <rPr>
            <sz val="9"/>
            <color indexed="81"/>
            <rFont val="Tahoma"/>
            <family val="2"/>
          </rPr>
          <t xml:space="preserve">
Enter number in decimal format.  Example: 00.000000</t>
        </r>
      </text>
    </comment>
    <comment ref="W140" authorId="0" shapeId="0" xr:uid="{A67D1F63-C7ED-4D54-B4E6-5885F7AA49AD}">
      <text>
        <r>
          <rPr>
            <b/>
            <sz val="9"/>
            <color indexed="81"/>
            <rFont val="Tahoma"/>
            <family val="2"/>
          </rPr>
          <t>Note:</t>
        </r>
        <r>
          <rPr>
            <sz val="9"/>
            <color indexed="81"/>
            <rFont val="Tahoma"/>
            <family val="2"/>
          </rPr>
          <t xml:space="preserve">
Enter number in decimal format.  Example: 00.000000</t>
        </r>
      </text>
    </comment>
    <comment ref="C148" authorId="0" shapeId="0" xr:uid="{09E594E1-6D08-4498-A29B-3E90B59431AB}">
      <text>
        <r>
          <rPr>
            <b/>
            <sz val="9"/>
            <color indexed="81"/>
            <rFont val="Tahoma"/>
            <family val="2"/>
          </rPr>
          <t>Note:</t>
        </r>
        <r>
          <rPr>
            <sz val="9"/>
            <color indexed="81"/>
            <rFont val="Tahoma"/>
            <family val="2"/>
          </rPr>
          <t xml:space="preserve">
Include the elevation that represents the WQv</t>
        </r>
      </text>
    </comment>
    <comment ref="F226" authorId="0" shapeId="0" xr:uid="{91204377-D473-46C2-91C3-FFF293F068C4}">
      <text>
        <r>
          <rPr>
            <b/>
            <sz val="9"/>
            <color indexed="81"/>
            <rFont val="Tahoma"/>
            <family val="2"/>
          </rPr>
          <t>Note:</t>
        </r>
        <r>
          <rPr>
            <sz val="9"/>
            <color indexed="81"/>
            <rFont val="Tahoma"/>
            <family val="2"/>
          </rPr>
          <t xml:space="preserve">
Enter street addres of proposed development</t>
        </r>
      </text>
    </comment>
    <comment ref="AD231" authorId="0" shapeId="0" xr:uid="{2C40B5C6-9469-4500-9E60-93CD2618B445}">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B3A0F0B8-8EB3-424D-8035-6317E50F8926}">
      <text>
        <r>
          <rPr>
            <b/>
            <sz val="9"/>
            <color indexed="81"/>
            <rFont val="Tahoma"/>
            <family val="2"/>
          </rPr>
          <t>Note:</t>
        </r>
        <r>
          <rPr>
            <sz val="9"/>
            <color indexed="81"/>
            <rFont val="Tahoma"/>
            <family val="2"/>
          </rPr>
          <t xml:space="preserve">
Enter street address of proposed development</t>
        </r>
      </text>
    </comment>
    <comment ref="T9" authorId="0" shapeId="0" xr:uid="{C904D0D6-4D1B-4AD3-B306-996E774FE6A6}">
      <text>
        <r>
          <rPr>
            <b/>
            <sz val="9"/>
            <color indexed="81"/>
            <rFont val="Tahoma"/>
            <family val="2"/>
          </rPr>
          <t>Note:</t>
        </r>
        <r>
          <rPr>
            <sz val="9"/>
            <color indexed="81"/>
            <rFont val="Tahoma"/>
            <family val="2"/>
          </rPr>
          <t xml:space="preserve">
Enter number in decimal format.  Example: 00.000000</t>
        </r>
      </text>
    </comment>
    <comment ref="T10" authorId="0" shapeId="0" xr:uid="{AC10640D-A592-412A-A757-90829C990683}">
      <text>
        <r>
          <rPr>
            <b/>
            <sz val="9"/>
            <color indexed="81"/>
            <rFont val="Tahoma"/>
            <family val="2"/>
          </rPr>
          <t>Note:</t>
        </r>
        <r>
          <rPr>
            <sz val="9"/>
            <color indexed="81"/>
            <rFont val="Tahoma"/>
            <family val="2"/>
          </rPr>
          <t xml:space="preserve">
Enter number in decimal format.  Example: -00.000000</t>
        </r>
      </text>
    </comment>
    <comment ref="E85" authorId="0" shapeId="0" xr:uid="{0F6FE89F-26E5-4EA3-B79A-AAAD7CA2A17C}">
      <text>
        <r>
          <rPr>
            <b/>
            <sz val="9"/>
            <color indexed="81"/>
            <rFont val="Tahoma"/>
            <family val="2"/>
          </rPr>
          <t>Note:</t>
        </r>
        <r>
          <rPr>
            <sz val="9"/>
            <color indexed="81"/>
            <rFont val="Tahoma"/>
            <family val="2"/>
          </rPr>
          <t xml:space="preserve">
Enter street address of proposed development</t>
        </r>
      </text>
    </comment>
    <comment ref="AC90" authorId="0" shapeId="0" xr:uid="{0D5C0241-0099-422C-9A49-0D4034B6162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99" authorId="0" shapeId="0" xr:uid="{73AE3B07-FC38-41E9-B355-BADDA9E85E47}">
      <text>
        <r>
          <rPr>
            <b/>
            <sz val="9"/>
            <color indexed="81"/>
            <rFont val="Tahoma"/>
            <family val="2"/>
          </rPr>
          <t>Note:</t>
        </r>
        <r>
          <rPr>
            <sz val="9"/>
            <color indexed="81"/>
            <rFont val="Tahoma"/>
            <family val="2"/>
          </rPr>
          <t xml:space="preserve">
Enter number in decimal format.
Example:  00.000000</t>
        </r>
      </text>
    </comment>
    <comment ref="AD100" authorId="0" shapeId="0" xr:uid="{F9179B53-D609-4D14-830E-7A120F9ADEF9}">
      <text>
        <r>
          <rPr>
            <b/>
            <sz val="9"/>
            <color indexed="81"/>
            <rFont val="Tahoma"/>
            <family val="2"/>
          </rPr>
          <t>Note:</t>
        </r>
        <r>
          <rPr>
            <sz val="9"/>
            <color indexed="81"/>
            <rFont val="Tahoma"/>
            <family val="2"/>
          </rPr>
          <t xml:space="preserve">
Enter number in decimal format.
Example:  00.000000</t>
        </r>
      </text>
    </comment>
    <comment ref="E218" authorId="0" shapeId="0" xr:uid="{4D5D67D7-9586-40F2-BF3A-CC70E6B8FC16}">
      <text>
        <r>
          <rPr>
            <b/>
            <sz val="9"/>
            <color indexed="81"/>
            <rFont val="Tahoma"/>
            <family val="2"/>
          </rPr>
          <t>Note:</t>
        </r>
        <r>
          <rPr>
            <sz val="9"/>
            <color indexed="81"/>
            <rFont val="Tahoma"/>
            <family val="2"/>
          </rPr>
          <t xml:space="preserve">
Enter street addres of proposed development</t>
        </r>
      </text>
    </comment>
    <comment ref="AC223" authorId="0" shapeId="0" xr:uid="{B2E0CADE-8502-4F6D-9CD0-D8404C383B7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<sst xmlns="http://schemas.openxmlformats.org/spreadsheetml/2006/main" count="1574" uniqueCount="604">
  <si>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</si>
  <si>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</si>
  <si>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</si>
  <si>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</si>
  <si>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</si>
  <si>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</si>
  <si>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</si>
  <si>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</si>
  <si>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</si>
  <si>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</si>
  <si>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</si>
  <si>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</si>
  <si>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</si>
  <si>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</si>
  <si>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</si>
  <si>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</si>
  <si>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</si>
  <si>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</si>
  <si>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</si>
  <si>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</si>
  <si>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</si>
  <si>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</si>
  <si>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</si>
  <si>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</si>
  <si>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</si>
  <si>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</si>
  <si>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</si>
  <si>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</si>
  <si>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</si>
  <si>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</si>
  <si>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</si>
  <si>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</si>
  <si>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</si>
  <si>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</si>
  <si>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</si>
  <si>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</si>
  <si>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</si>
  <si>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</si>
  <si>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</si>
  <si>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</si>
  <si>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</si>
  <si>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</si>
  <si>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Top EL.:</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</si>
  <si>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</si>
  <si>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</si>
  <si>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</si>
  <si>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</si>
  <si>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</si>
  <si>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</si>
  <si>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</si>
  <si>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</si>
  <si>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</si>
  <si>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</si>
  <si>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</si>
  <si>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</si>
  <si>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</si>
  <si>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</si>
  <si>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</si>
  <si>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</si>
  <si>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</si>
  <si>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t>Max Stage
(ft)</t>
  </si>
  <si>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</si>
  <si>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</si>
  <si>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</si>
  <si>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</si>
  <si>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</si>
  <si>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</si>
  <si>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</si>
  <si>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</si>
  <si>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</si>
  <si>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</si>
  <si>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</si>
  <si>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</si>
  <si>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</si>
  <si>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</si>
  <si>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</si>
  <si>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</si>
  <si>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</si>
  <si>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</si>
  <si>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</si>
  <si>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</si>
  <si>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</si>
  <si>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</si>
  <si>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</si>
  <si>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</si>
  <si>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</si>
  <si>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</si>
  <si>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</si>
  <si>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</si>
  <si>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Pond Discharge Summary: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</si>
  <si>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</si>
  <si>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</si>
  <si>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</si>
  <si>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</si>
  <si>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</si>
  <si>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</si>
  <si>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</si>
  <si>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Storm sewers showing pipes, inlets, junction boxes, outlets, outlet protection, and invert elevations</t>
  </si>
  <si>
    <t>Outlet structure showing multi-stage riser, orifices, weirs, outlet pipe, and WQ filter</t>
  </si>
  <si>
    <t>Outlet pipe discharge location and outlet protection</t>
  </si>
  <si>
    <t>Prior to approval of the Final Plat.</t>
  </si>
  <si>
    <t>Provide ALL required attachments:</t>
  </si>
  <si>
    <t>The issuance of a Certificate of Occupancy; and/or,</t>
  </si>
  <si>
    <t>e.</t>
  </si>
  <si>
    <t>c.</t>
  </si>
  <si>
    <t>d.</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</si>
  <si>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</si>
  <si>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</si>
  <si>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</si>
  <si>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</si>
  <si>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</si>
  <si>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</si>
  <si>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</si>
  <si>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</si>
  <si>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</si>
  <si>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</si>
  <si>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</si>
  <si>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</si>
  <si>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</si>
  <si>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</si>
  <si>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Pond In Q
(ft</t>
    </r>
    <r>
      <rPr>
        <vertAlign val="superscript"/>
        <sz val="9"/>
        <color theme="1"/>
        <rFont val="Calibri"/>
        <family val="2"/>
      </rPr>
      <t>3</t>
    </r>
    <r>
      <rPr>
        <sz val="9"/>
        <color theme="1"/>
        <rFont val="Calibri"/>
        <family val="2"/>
        <scheme val="minor"/>
      </rPr>
      <t>/s)</t>
    </r>
  </si>
  <si>
    <r>
      <t>Pond Out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</si>
  <si>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</si>
  <si>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</si>
  <si>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</si>
  <si>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</si>
  <si>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</si>
  <si>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</si>
  <si>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</si>
  <si>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</si>
  <si>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</si>
  <si>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</si>
  <si>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</si>
  <si>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</si>
  <si>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</si>
  <si>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</si>
  <si>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</si>
  <si>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</si>
  <si>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</si>
  <si>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</si>
  <si>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</si>
  <si>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</si>
  <si>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</si>
  <si>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</si>
  <si>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</si>
  <si>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</si>
  <si>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</si>
  <si>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Pond In Q:</t>
  </si>
  <si>
    <t>Montgomery</t>
  </si>
  <si>
    <t>Hoover</t>
  </si>
  <si>
    <t>Prattville</t>
  </si>
  <si>
    <t>Mobile</t>
  </si>
  <si>
    <t xml:space="preserve">Select City: </t>
  </si>
  <si>
    <t xml:space="preserve">Trash Rack: </t>
  </si>
  <si>
    <t xml:space="preserve">Bottom EL: </t>
  </si>
  <si>
    <t>Yes</t>
  </si>
  <si>
    <t xml:space="preserve">WQv Orifice: </t>
  </si>
  <si>
    <t xml:space="preserve">Outlet Pipe: </t>
  </si>
  <si>
    <t xml:space="preserve">Bottom EL.: </t>
  </si>
  <si>
    <t xml:space="preserve">Width: </t>
  </si>
  <si>
    <t xml:space="preserve">Diameter: </t>
  </si>
  <si>
    <t xml:space="preserve">Material: </t>
  </si>
  <si>
    <t xml:space="preserve">Shape: </t>
  </si>
  <si>
    <t xml:space="preserve">Length: </t>
  </si>
  <si>
    <t xml:space="preserve">Top EL.: </t>
  </si>
  <si>
    <t>Round</t>
  </si>
  <si>
    <t>Rectangle</t>
  </si>
  <si>
    <t>Trapezoid</t>
  </si>
  <si>
    <t>Square</t>
  </si>
  <si>
    <t xml:space="preserve"> Photographs</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</si>
  <si>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</si>
  <si>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</si>
  <si>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</si>
  <si>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</si>
  <si>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</si>
  <si>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</si>
  <si>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</si>
  <si>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</si>
  <si>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</si>
  <si>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</si>
  <si>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</si>
  <si>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</si>
  <si>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</si>
  <si>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</si>
  <si>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</si>
  <si>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</si>
  <si>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</si>
  <si>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</si>
  <si>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</si>
  <si>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Form 3C - Underground Detention
As-Built Certification Form</t>
  </si>
  <si>
    <t xml:space="preserve"> Soils Data</t>
  </si>
  <si>
    <t xml:space="preserve"> Manufacturer Data</t>
  </si>
  <si>
    <t xml:space="preserve"> Maintenance Plan</t>
  </si>
  <si>
    <t>Underground Detention</t>
  </si>
  <si>
    <t xml:space="preserve">Hydrologic Soil Group: </t>
  </si>
  <si>
    <t xml:space="preserve"> Detention w/ Infiltration</t>
  </si>
  <si>
    <t xml:space="preserve"> A</t>
  </si>
  <si>
    <t xml:space="preserve"> B</t>
  </si>
  <si>
    <t xml:space="preserve"> C</t>
  </si>
  <si>
    <t xml:space="preserve"> D</t>
  </si>
  <si>
    <t xml:space="preserve">Water Table Depth: </t>
  </si>
  <si>
    <t xml:space="preserve">Saturated Hydraulic Conductivity: </t>
  </si>
  <si>
    <t xml:space="preserve"> Field Test Performed? </t>
  </si>
  <si>
    <t>in/hr</t>
  </si>
  <si>
    <t xml:space="preserve"> Pipe System:</t>
  </si>
  <si>
    <t xml:space="preserve">Height: </t>
  </si>
  <si>
    <t xml:space="preserve">Inv EL: </t>
  </si>
  <si>
    <t xml:space="preserve"> Manufactured System:</t>
  </si>
  <si>
    <t xml:space="preserve"> Detention</t>
  </si>
  <si>
    <t xml:space="preserve"> ADS</t>
  </si>
  <si>
    <t xml:space="preserve"> Contech</t>
  </si>
  <si>
    <t xml:space="preserve"> Other:</t>
  </si>
  <si>
    <t xml:space="preserve">Type: </t>
  </si>
  <si>
    <r>
      <t>ft</t>
    </r>
    <r>
      <rPr>
        <vertAlign val="superscript"/>
        <sz val="10"/>
        <color theme="1"/>
        <rFont val="Calibri"/>
        <family val="2"/>
        <scheme val="minor"/>
      </rPr>
      <t>3</t>
    </r>
  </si>
  <si>
    <t xml:space="preserve">Installed Volume: </t>
  </si>
  <si>
    <t xml:space="preserve">Pretreatment: </t>
  </si>
  <si>
    <t xml:space="preserve">Inlet Filters: </t>
  </si>
  <si>
    <t xml:space="preserve">Stone Base: </t>
  </si>
  <si>
    <t xml:space="preserve">Chamber Height: </t>
  </si>
  <si>
    <t xml:space="preserve">Stone Above Chamber: </t>
  </si>
  <si>
    <t xml:space="preserve">Compacted Backfill: </t>
  </si>
  <si>
    <t xml:space="preserve">Finished Grade: </t>
  </si>
  <si>
    <t>Depth</t>
  </si>
  <si>
    <t>Bottom EL</t>
  </si>
  <si>
    <t>Top EL</t>
  </si>
  <si>
    <t xml:space="preserve">Isolator Row Manhole: </t>
  </si>
  <si>
    <t>No. Rows</t>
  </si>
  <si>
    <t>ea</t>
  </si>
  <si>
    <t>Diameter</t>
  </si>
  <si>
    <t xml:space="preserve"> Underdrain Pipe(s)</t>
  </si>
  <si>
    <t>Inspection Port(s)</t>
  </si>
  <si>
    <t xml:space="preserve"> System Layout</t>
  </si>
  <si>
    <t xml:space="preserve"> System Cross Section</t>
  </si>
  <si>
    <t xml:space="preserve"> Chamber Specs</t>
  </si>
  <si>
    <t xml:space="preserve">No. Ports: </t>
  </si>
  <si>
    <t>Isolator</t>
  </si>
  <si>
    <t>Chamber</t>
  </si>
  <si>
    <t>Discharge Summary</t>
  </si>
  <si>
    <t>ES Tot</t>
  </si>
  <si>
    <t xml:space="preserve">No. Rows: </t>
  </si>
  <si>
    <t xml:space="preserve">Inv. EL: </t>
  </si>
  <si>
    <t>Perform a field survey of the constructed underground detention system; and,</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</si>
  <si>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</si>
  <si>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</si>
  <si>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</si>
  <si>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</si>
  <si>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</si>
  <si>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</si>
  <si>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General overview of the underground detention system</t>
  </si>
  <si>
    <t>Location where the underground detention system discharges into receiving stream, culvert, or channel</t>
  </si>
  <si>
    <t>Revision Date:</t>
  </si>
  <si>
    <t>Emerg. Spillway</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</si>
  <si>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</si>
  <si>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</si>
  <si>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</si>
  <si>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</si>
  <si>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</si>
  <si>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</si>
  <si>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</si>
  <si>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</si>
  <si>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</si>
  <si>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</si>
  <si>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</si>
  <si>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</si>
  <si>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</si>
  <si>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</si>
  <si>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Provides the required water quality volume (WQv);</t>
  </si>
  <si>
    <t xml:space="preserve">Post-development runoff mimics pre-development hydrology to the maximum extent practicable (MEP). </t>
  </si>
  <si>
    <t>By affixing my professional seal and signature on this form, I hereby certify that the underground detention system:</t>
  </si>
  <si>
    <t>Velocity</t>
  </si>
  <si>
    <t>By affixing my professional seal and signature on this form, I hereby certify that the underground detention system has been constructed in accordance with the approved design.  I further certify that the drainage areas shown in the approved hydrology and hydraulic (H&amp;H) calculations do in fact drain into the underground detention system and that the post-development runoff mimics pre-development hydrology to the maximum extent practicable (MEP).</t>
  </si>
  <si>
    <t xml:space="preserve"> As-Built Survey Drawing(s)</t>
  </si>
  <si>
    <t>Printing the form may require some adjustments to the print settings for the printer being used.</t>
  </si>
  <si>
    <t>Home Owners Association (HOA) Information</t>
  </si>
  <si>
    <t>All applicable developments shall be responsible for ensuring that post-development hydrology mimics</t>
  </si>
  <si>
    <t>will not adversely impact and/or cause flooding of structures within the development;</t>
  </si>
  <si>
    <t>Filtration system for the WQv Orifice shall allow the volume of stormwater associated with the WQv</t>
  </si>
  <si>
    <t>Drainage areas shown in the hydrology and hydraulic (H&amp;H) calculations drain into the underground detention</t>
  </si>
  <si>
    <t>system; and,</t>
  </si>
  <si>
    <t xml:space="preserve">Site features to include but not limited to roads, rights-of-way, property lines, driveways, buildings, </t>
  </si>
  <si>
    <t>parking areas, fences, retaining walls, dumpster pads, etc.</t>
  </si>
  <si>
    <t>Detail of the outlet structure showing elevations and dimensions of multi-stage riser, orifices, weirs,</t>
  </si>
  <si>
    <t>outlet pipe, WQ filter, etc.</t>
  </si>
  <si>
    <t>Certification Form;</t>
  </si>
  <si>
    <t>Current Logo</t>
  </si>
  <si>
    <t>This is a required field.  Once a number or text is entered, the green highlight will be removed.</t>
  </si>
  <si>
    <t xml:space="preserve">None: </t>
  </si>
  <si>
    <t>Max Elev.
(ft)</t>
  </si>
  <si>
    <t>City:</t>
  </si>
  <si>
    <t>Comments?</t>
  </si>
  <si>
    <t>Permit Type:</t>
  </si>
  <si>
    <t>Max Velocity:</t>
  </si>
  <si>
    <t>Lookup Table</t>
  </si>
  <si>
    <t>Engineering or Building No.</t>
  </si>
  <si>
    <t>V-notch</t>
  </si>
  <si>
    <t>Dia./Width/Deg</t>
  </si>
  <si>
    <t>Height</t>
  </si>
  <si>
    <t>Max Velocity</t>
  </si>
  <si>
    <t>Freeboard  &lt;  1.0 ft</t>
  </si>
  <si>
    <t>Emergency Spillway Freeboard:</t>
  </si>
  <si>
    <t>Post &lt; 0.5</t>
  </si>
  <si>
    <t>Complete Design Form with the required design information.  Once the Design Form is completed, most of the Design section of the As-built Form will be prepopulated.</t>
  </si>
  <si>
    <t>Use the drop down list to select an orifice or weir.</t>
  </si>
  <si>
    <t xml:space="preserve">Weir: </t>
  </si>
  <si>
    <t>Rainfall depths were obtained from NOAA Atlas 14, Volume 9, Version 2.</t>
  </si>
  <si>
    <t xml:space="preserve"> NA</t>
  </si>
  <si>
    <t>Page 5 of 5</t>
  </si>
  <si>
    <t>Page 4 of 5</t>
  </si>
  <si>
    <t>Page 3 of 5</t>
  </si>
  <si>
    <t>Page 2 of 5</t>
  </si>
  <si>
    <t>Page 1 of 5</t>
  </si>
  <si>
    <t>No. Taken</t>
  </si>
  <si>
    <t>Date</t>
  </si>
  <si>
    <t>Isolator Row Manhole</t>
  </si>
  <si>
    <t xml:space="preserve">City: </t>
  </si>
  <si>
    <t xml:space="preserve">Contact Name: </t>
  </si>
  <si>
    <t xml:space="preserve">Seal: </t>
  </si>
  <si>
    <t xml:space="preserve"> Cultec</t>
  </si>
  <si>
    <t xml:space="preserve">  Prinsco</t>
  </si>
  <si>
    <t>Inspection Manholes(s)</t>
  </si>
  <si>
    <t xml:space="preserve">No. : Manholes: </t>
  </si>
  <si>
    <t>Total Volume</t>
  </si>
  <si>
    <t>Total Length</t>
  </si>
  <si>
    <t xml:space="preserve">Isolator Rows: </t>
  </si>
  <si>
    <t xml:space="preserve">Chamber Rows: </t>
  </si>
  <si>
    <t xml:space="preserve">Total Installed System Volume: </t>
  </si>
  <si>
    <t>ENG No.</t>
  </si>
  <si>
    <t xml:space="preserve">Total Stone Volume: </t>
  </si>
  <si>
    <t xml:space="preserve">Total Length: </t>
  </si>
  <si>
    <t xml:space="preserve">Total Volume: </t>
  </si>
  <si>
    <t>f.</t>
  </si>
  <si>
    <t>g.</t>
  </si>
  <si>
    <t>Underground detention system components during construciton</t>
  </si>
  <si>
    <t xml:space="preserve">Insp Report Due: </t>
  </si>
  <si>
    <t>30 Septbember</t>
  </si>
  <si>
    <t>1 September</t>
  </si>
  <si>
    <t>Installation of and underground detention system shall not adversely impact and/or cause flooding</t>
  </si>
  <si>
    <t>of properties located within, upstream, and/or downstream of the development;</t>
  </si>
  <si>
    <t>A stormwater pathway (i.e. piped storm sewer, overland flow, etc.) within the development shall</t>
  </si>
  <si>
    <t>be provided to convey the discharge resulting from a 100-year, 24-hour storm event in a manner that</t>
  </si>
  <si>
    <t>to drain slowly from the underground detention system within a 48-hour period;</t>
  </si>
  <si>
    <t xml:space="preserve">WQ Filter: </t>
  </si>
  <si>
    <t>Outfall to receiving stream / storm sewer</t>
  </si>
  <si>
    <t>Insp Report Due:</t>
  </si>
  <si>
    <t>Arch</t>
  </si>
  <si>
    <t>Elliptical</t>
  </si>
  <si>
    <t>(50-yr)</t>
  </si>
  <si>
    <t>Storm:</t>
  </si>
  <si>
    <t>Storms:</t>
  </si>
  <si>
    <t>2, 5, 10, 25, 50, and 100</t>
  </si>
  <si>
    <r>
      <t>Total Post Q is &lt; -0.50 ft</t>
    </r>
    <r>
      <rPr>
        <vertAlign val="superscript"/>
        <sz val="10.8"/>
        <color theme="1"/>
        <rFont val="Calibri"/>
        <family val="2"/>
      </rPr>
      <t>3</t>
    </r>
    <r>
      <rPr>
        <sz val="11"/>
        <color theme="1"/>
        <rFont val="Calibri"/>
        <family val="2"/>
        <scheme val="minor"/>
      </rPr>
      <t>/s of Pre Q</t>
    </r>
  </si>
  <si>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</si>
  <si>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</si>
  <si>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</si>
  <si>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</si>
  <si>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</si>
  <si>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</si>
  <si>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</si>
  <si>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</si>
  <si>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</si>
  <si>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</si>
  <si>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</si>
  <si>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Will all Phases or Lots be a member of the association?</t>
  </si>
  <si>
    <t xml:space="preserve">Select Units: </t>
  </si>
  <si>
    <t xml:space="preserve"> ac</t>
  </si>
  <si>
    <t xml:space="preserve"> sq-ft</t>
  </si>
  <si>
    <t>Imp. Area</t>
  </si>
  <si>
    <t>%</t>
  </si>
  <si>
    <t xml:space="preserve">Total: </t>
  </si>
  <si>
    <t>Page 1 of 2</t>
  </si>
  <si>
    <t>Page 2 of 2</t>
  </si>
  <si>
    <t>Form 2C.1 - Underground Detention
Design Form</t>
  </si>
  <si>
    <t>Form 2C.2 - Underground Detention
Design Form Attachment</t>
  </si>
  <si>
    <t>By affixing my professional seal and signature on this form, I hereby certify that the proposed underground detention system</t>
  </si>
  <si>
    <t>was designed to accommodate the Phases and/or Lots included in this attachment.</t>
  </si>
  <si>
    <t>Location of underground detention system</t>
  </si>
  <si>
    <t>Slope</t>
  </si>
  <si>
    <r>
      <t>Peak Discharge (ft</t>
    </r>
    <r>
      <rPr>
        <vertAlign val="superscript"/>
        <sz val="8"/>
        <color theme="1"/>
        <rFont val="Calibri"/>
        <family val="2"/>
      </rPr>
      <t>3</t>
    </r>
    <r>
      <rPr>
        <sz val="10"/>
        <color theme="1"/>
        <rFont val="Calibri"/>
        <family val="2"/>
        <scheme val="minor"/>
      </rPr>
      <t>/s)</t>
    </r>
  </si>
  <si>
    <t>Is the underground detention system located on a separate lot?</t>
  </si>
  <si>
    <t>Design Questions</t>
  </si>
  <si>
    <t>Flooding</t>
  </si>
  <si>
    <t>Will the underground detention system be maintained by an association?</t>
  </si>
  <si>
    <t>Total</t>
  </si>
  <si>
    <r>
      <t>Photographs</t>
    </r>
    <r>
      <rPr>
        <sz val="10"/>
        <color theme="1"/>
        <rFont val="Calibri"/>
        <family val="2"/>
        <scheme val="minor"/>
      </rPr>
      <t xml:space="preserve"> </t>
    </r>
  </si>
  <si>
    <t>Does the project drain to an area of known flooding?</t>
  </si>
  <si>
    <t xml:space="preserve">Does the project drain onto an adjacent property? </t>
  </si>
  <si>
    <t>Adj. Property</t>
  </si>
  <si>
    <t>General design standards and requirements shall be as follows:</t>
  </si>
  <si>
    <t xml:space="preserve">No. of Isolator Row Manholes: </t>
  </si>
  <si>
    <t>ID</t>
  </si>
  <si>
    <t>Sump Depth</t>
  </si>
  <si>
    <t xml:space="preserve">Manifold Pipe? </t>
  </si>
  <si>
    <t xml:space="preserve"> System Layout (cont)</t>
  </si>
  <si>
    <t>----------  Manifold  ----------</t>
  </si>
  <si>
    <t>No. IRM</t>
  </si>
  <si>
    <t xml:space="preserve">Design Form Date: </t>
  </si>
  <si>
    <t>31 December</t>
  </si>
  <si>
    <t>As-Built does not match Design, provide a reason in the Comments section</t>
  </si>
  <si>
    <t>Example components of a manufactured system is provided below for information only.</t>
  </si>
  <si>
    <t>An underground detention system shall not be located within a floodplain or floodway;</t>
  </si>
  <si>
    <t>for water quality?</t>
  </si>
  <si>
    <t>Hydrodynamic Separator provided</t>
  </si>
  <si>
    <t>Form 3E Attached?</t>
  </si>
  <si>
    <t xml:space="preserve">No.: </t>
  </si>
  <si>
    <t>Caption, date, and/or description on all photographs</t>
  </si>
  <si>
    <t>*Inspection port(s)</t>
  </si>
  <si>
    <t>*Isolator row manhole(s)</t>
  </si>
  <si>
    <t>*Manifold(s)</t>
  </si>
  <si>
    <t>*Manifold rows</t>
  </si>
  <si>
    <t>*Isolator rows</t>
  </si>
  <si>
    <t>*Chamber rows</t>
  </si>
  <si>
    <t>*Underdrain system</t>
  </si>
  <si>
    <t>*Photographs shall be taken during construction of the underground detention system</t>
  </si>
  <si>
    <t>Location of the underground detention components (i.e. isolator rows, chamber rows, manifold, under drain,</t>
  </si>
  <si>
    <t>inspection ports, etc.), contours, spot elevations, outlet structure, outlet pipe, and outlet protection.</t>
  </si>
  <si>
    <t>Emergency spillway and discharge location, if applicable</t>
  </si>
  <si>
    <t>Caption identifying the date, location, and description of the photograph</t>
  </si>
  <si>
    <t>All required photographs are not provided</t>
  </si>
  <si>
    <t>Photographs:</t>
  </si>
  <si>
    <t>Does the underground detention discharge into an existing storm sewer (i.e. pipe, concrete swale, etc.)?</t>
  </si>
  <si>
    <t>Will future development phases discharge into the underground detention?  Complete Form 2C.2.</t>
  </si>
  <si>
    <t>Form 2C.2 - Underground Detention Design Form Attachment is attached?</t>
  </si>
  <si>
    <t>No. Storms:</t>
  </si>
  <si>
    <t>Known Flooding Req:</t>
  </si>
  <si>
    <t>T-Shape</t>
  </si>
  <si>
    <t>Stage-Area-Storage Summary</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</si>
  <si>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</si>
  <si>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</si>
  <si>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</si>
  <si>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</si>
  <si>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</si>
  <si>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</si>
  <si>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</si>
  <si>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</si>
  <si>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</si>
  <si>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</si>
  <si>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Pre Q Lookup Table</t>
  </si>
  <si>
    <t>Property</t>
  </si>
  <si>
    <t>*General Overview (bedding, chambers, etc.)</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</si>
  <si>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</si>
  <si>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</si>
  <si>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</si>
  <si>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</si>
  <si>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</si>
  <si>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</si>
  <si>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</si>
  <si>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</si>
  <si>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</si>
  <si>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</si>
  <si>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OCS</t>
  </si>
  <si>
    <t>ES</t>
  </si>
  <si>
    <t>OCS = Outlet Control Structure</t>
  </si>
  <si>
    <t>ES = Emergency Spillway</t>
  </si>
  <si>
    <t>Lat Text</t>
  </si>
  <si>
    <t>Long Text</t>
  </si>
  <si>
    <t>Latitude and/or Longitude has been entered as text.  Change to a number.</t>
  </si>
  <si>
    <t>Outlet Control Structure (OCS)</t>
  </si>
  <si>
    <t>Emergency Spillway (ES)</t>
  </si>
  <si>
    <t xml:space="preserve">Parcel No.: </t>
  </si>
  <si>
    <t>H&amp;H calculations shall include all the information required to validate information provided on this form</t>
  </si>
  <si>
    <t xml:space="preserve"> i.e. model network, existing drainage areas, proposed drainage areas, time of concentration, curve number, </t>
  </si>
  <si>
    <t xml:space="preserve">pre-development peak discharges, post-development peak discharges, outlet structure geometry, emergency </t>
  </si>
  <si>
    <t xml:space="preserve">spillway geometry, pond stage-area storage summary, pond discharge summary, inflow and </t>
  </si>
  <si>
    <t>outflow hydrographs, and outlet  velocities.</t>
  </si>
  <si>
    <t>Post-development discharges shall be less than pre-development discharges at all discharge locations.</t>
  </si>
  <si>
    <t>Provide the velocity at the end of any velocity dissipation device.</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</si>
  <si>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</si>
  <si>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</si>
  <si>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</si>
  <si>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</si>
  <si>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</si>
  <si>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</si>
  <si>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</si>
  <si>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OCS Velocity
(ft/s)</t>
  </si>
  <si>
    <t>ES Velocity
(ft/s)</t>
  </si>
  <si>
    <t>Parcel No.:</t>
  </si>
  <si>
    <t>Parcel No. has not been provided</t>
  </si>
  <si>
    <t xml:space="preserve">Detention Type:  </t>
  </si>
  <si>
    <t xml:space="preserve">Hydrologic Soil Group:  </t>
  </si>
  <si>
    <t xml:space="preserve"> Pipe or Vault System:</t>
  </si>
  <si>
    <t>Spillage agreement</t>
  </si>
  <si>
    <t>The as-built drawing shall bear the date, seal, and signature of the professional land surveyor.</t>
  </si>
  <si>
    <t>As-built drawing, at a minimum, shall include the following:</t>
  </si>
  <si>
    <t>Use the as-built drawing to complete Form 3C – Underground Detention Pond As-built</t>
  </si>
  <si>
    <t>Will not adversely impact and/or cause flooding of structures within, upstream, and/or downstream of the</t>
  </si>
  <si>
    <t>development;</t>
  </si>
  <si>
    <t>The calculation methodology shall utilize the National Resource Conservation Resources (NRCS) Urban</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</si>
  <si>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</si>
  <si>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</si>
  <si>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</si>
  <si>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</si>
  <si>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</si>
  <si>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</si>
  <si>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</si>
  <si>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</si>
  <si>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</si>
  <si>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</si>
  <si>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</si>
  <si>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Outlet protection section not completed</t>
  </si>
  <si>
    <t>Slope of the bottom of the detention pond  &lt; 2.00%</t>
  </si>
  <si>
    <t>Known or Adj Design Storm:</t>
  </si>
  <si>
    <t>Known or Adj Design Storm&lt;:</t>
  </si>
  <si>
    <t>Outlet Protection</t>
  </si>
  <si>
    <t>Riprap apron</t>
  </si>
  <si>
    <t>Concrete flume with baffles</t>
  </si>
  <si>
    <t>Concrete box with chambers</t>
  </si>
  <si>
    <t>Concrete box with baffles</t>
  </si>
  <si>
    <t>Pre-manufactured product</t>
  </si>
  <si>
    <t xml:space="preserve">Depth: </t>
  </si>
  <si>
    <t xml:space="preserve">Geotextile: </t>
  </si>
  <si>
    <t>Outlet Protection:</t>
  </si>
  <si>
    <t>Will the detention pond discharge to a channel?</t>
  </si>
  <si>
    <t>Will the detention pond discharge to an area of sheet flow?</t>
  </si>
  <si>
    <t>Will a level spreader be used?</t>
  </si>
  <si>
    <t>Design Storm</t>
  </si>
  <si>
    <t xml:space="preserve">BMP ID: </t>
  </si>
  <si>
    <t>The intent of this form is to document the phases of development that will utilize the underground detention system</t>
  </si>
  <si>
    <t>Max Stage for 2, 5, 10, 25, and/or 50-year storm  &gt; emergency spillway crest elevation</t>
  </si>
  <si>
    <t xml:space="preserve">   Discharges to BMP?</t>
  </si>
  <si>
    <t>Outlet control structure and  WQv filter</t>
  </si>
  <si>
    <t xml:space="preserve">Effective Date: </t>
  </si>
  <si>
    <t xml:space="preserve">Acceptance (required): </t>
  </si>
  <si>
    <t>Selection Required</t>
  </si>
  <si>
    <t xml:space="preserve">Expiration Date: </t>
  </si>
  <si>
    <t xml:space="preserve">IMPORTANT - READ BEFORE USE: </t>
  </si>
  <si>
    <t xml:space="preserve">Current Status: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</si>
  <si>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</si>
  <si>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</si>
  <si>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</si>
  <si>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</si>
  <si>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</si>
  <si>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</si>
  <si>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</si>
  <si>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</si>
  <si>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</si>
  <si>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</si>
  <si>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I ACCEPT</t>
  </si>
  <si>
    <t>I DO NOT ACCEPT</t>
  </si>
  <si>
    <t>Baldwin County</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</si>
  <si>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</si>
  <si>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</si>
  <si>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</si>
  <si>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</si>
  <si>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</si>
  <si>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</si>
  <si>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</si>
  <si>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</si>
  <si>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</si>
  <si>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</si>
  <si>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</si>
  <si>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</si>
  <si>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</si>
  <si>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Entity:</t>
  </si>
  <si>
    <t>the City of Hoover</t>
  </si>
  <si>
    <t>Jefferson County</t>
  </si>
  <si>
    <t>the City of Mobile</t>
  </si>
  <si>
    <t>the City of Montgomery</t>
  </si>
  <si>
    <t>the City of Prattville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</si>
  <si>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</si>
  <si>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</si>
  <si>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</si>
  <si>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special, consequential, or punitive damages.</t>
  </si>
  <si>
    <t>Phase ID</t>
  </si>
  <si>
    <t>-yr</t>
  </si>
  <si>
    <t>Level Spreader design documentation is attached.</t>
  </si>
  <si>
    <t>This form is for all phases associated with the BMP identified on the form</t>
  </si>
  <si>
    <t xml:space="preserve"> O&amp;M Plan</t>
  </si>
  <si>
    <t>Drainage Rights</t>
  </si>
  <si>
    <t>a Release Agreement</t>
  </si>
  <si>
    <t>a Spillage Agreement</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</si>
  <si>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</si>
  <si>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</si>
  <si>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</si>
  <si>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</si>
  <si>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</si>
  <si>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</si>
  <si>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</si>
  <si>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</si>
  <si>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</si>
  <si>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</si>
  <si>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</si>
  <si>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r>
      <t>The Tool is provided "</t>
    </r>
    <r>
      <rPr>
        <b/>
        <sz val="12"/>
        <color theme="1"/>
        <rFont val="Calibri"/>
        <family val="2"/>
      </rPr>
      <t>AS IS</t>
    </r>
    <r>
      <rPr>
        <sz val="12"/>
        <color theme="1"/>
        <rFont val="Calibri"/>
        <family val="2"/>
        <scheme val="minor"/>
      </rPr>
      <t>".  Licensor disclaims all warranties, express or implied (including merchantability, fitness for a particular</t>
    </r>
  </si>
  <si>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</si>
  <si>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</si>
  <si>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</si>
  <si>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</si>
  <si>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</si>
  <si>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</si>
  <si>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</si>
  <si>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</si>
  <si>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</si>
  <si>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</si>
  <si>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</si>
  <si>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</si>
  <si>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END USER LICENSE AGREEMENT (EULA)</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</si>
  <si>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</si>
  <si>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Underground Detention (UD)</t>
  </si>
  <si>
    <r>
      <t>UD In 
Q (ft</t>
    </r>
    <r>
      <rPr>
        <vertAlign val="superscript"/>
        <sz val="8"/>
        <color theme="1"/>
        <rFont val="Calibri"/>
        <family val="2"/>
      </rPr>
      <t>3</t>
    </r>
    <r>
      <rPr>
        <sz val="10"/>
        <color theme="1"/>
        <rFont val="Calibri"/>
        <family val="2"/>
        <scheme val="minor"/>
      </rPr>
      <t>/s)</t>
    </r>
  </si>
  <si>
    <r>
      <t>UD Out 
Q (ft</t>
    </r>
    <r>
      <rPr>
        <vertAlign val="superscript"/>
        <sz val="8"/>
        <color theme="1"/>
        <rFont val="Calibri"/>
        <family val="2"/>
      </rPr>
      <t>3</t>
    </r>
    <r>
      <rPr>
        <sz val="10"/>
        <color theme="1"/>
        <rFont val="Calibri"/>
        <family val="2"/>
        <scheme val="minor"/>
      </rPr>
      <t>/s)</t>
    </r>
  </si>
  <si>
    <t>UD = Underground Detention</t>
  </si>
  <si>
    <r>
      <t>WQ</t>
    </r>
    <r>
      <rPr>
        <vertAlign val="subscript"/>
        <sz val="15"/>
        <color theme="1"/>
        <rFont val="Calibri"/>
        <family val="2"/>
      </rPr>
      <t>v</t>
    </r>
    <r>
      <rPr>
        <sz val="10"/>
        <color theme="1"/>
        <rFont val="Calibri"/>
        <family val="2"/>
        <scheme val="minor"/>
      </rPr>
      <t xml:space="preserve"> Elevation: </t>
    </r>
  </si>
  <si>
    <t>Have low impact development (LID) / green infrasturcture (GI) Practices been implemented?</t>
  </si>
  <si>
    <t>24-hour storm event without allowing any discharge from the emergency spillway;</t>
  </si>
  <si>
    <t>The principal outlet control structure for a underground detention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</si>
</sst>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409]mmmm\ d\,\ yyyy;@"/>
    <numFmt numFmtId="173" formatCode="\-#,##0.000000"/>
    <numFmt numFmtId="174" formatCode="#,##0.000"/>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1">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2" tint="-9.9948118533890809E-2"/>
        <bgColor indexed="64"/>
      </patternFill>
    </fill>
    <fill>
      <patternFill patternType="solid">
        <fgColor theme="4"/>
        <bgColor theme="4"/>
      </patternFill>
    </fill>
    <fill>
      <patternFill patternType="solid">
        <fgColor theme="7" tint="0.79998168889431442"/>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73">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2" fontId="3" fillId="0" borderId="0" xfId="0" applyNumberFormat="1" applyFont="1" applyAlignment="1" applyProtection="1">
      <alignment horizontal="right" vertical="center"/>
      <protection hidden="1"/>
    </xf>
    <xf numFmtId="2" fontId="3" fillId="0" borderId="0" xfId="0" applyNumberFormat="1" applyFont="1" applyAlignment="1" applyProtection="1">
      <alignment vertical="center"/>
      <protection hidden="1"/>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3" xfId="0" applyFont="1" applyBorder="1" applyAlignment="1">
      <alignment horizontal="center" vertical="center"/>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0" fontId="17" fillId="0" borderId="0" xfId="0" applyFont="1" applyAlignment="1">
      <alignment horizontal="center" vertical="center"/>
    </xf>
    <xf numFmtId="0" fontId="3" fillId="0" borderId="11" xfId="0" applyFont="1" applyBorder="1" applyAlignment="1">
      <alignment vertical="center"/>
    </xf>
    <xf numFmtId="0" fontId="0" fillId="0" borderId="0" xfId="0" applyAlignment="1">
      <alignment wrapText="1"/>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166" fontId="9" fillId="0" borderId="0" xfId="0" applyNumberFormat="1" applyFont="1" applyAlignment="1">
      <alignment horizontal="center"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9" fillId="6" borderId="0" xfId="0" applyFont="1" applyFill="1" applyAlignment="1">
      <alignment horizontal="left" vertical="center"/>
    </xf>
    <xf numFmtId="0" fontId="9" fillId="6" borderId="0" xfId="0" applyFont="1" applyFill="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3"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 fillId="0" borderId="12" xfId="0" applyFont="1" applyBorder="1" applyAlignment="1">
      <alignment vertical="center"/>
    </xf>
    <xf numFmtId="0" fontId="3" fillId="0" borderId="11" xfId="0" applyFont="1" applyBorder="1" applyAlignment="1">
      <alignment horizontal="right" vertical="center"/>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66" fontId="0" fillId="0" borderId="0" xfId="0" applyNumberFormat="1" applyAlignment="1">
      <alignment horizontal="left" vertical="center"/>
    </xf>
    <xf numFmtId="0" fontId="0" fillId="0" borderId="0" xfId="0" applyAlignment="1">
      <alignment vertical="center" wrapText="1"/>
    </xf>
    <xf numFmtId="0" fontId="3" fillId="0" borderId="0" xfId="0" applyFont="1"/>
    <xf numFmtId="0" fontId="3" fillId="6" borderId="0" xfId="0" applyFont="1" applyFill="1"/>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2" xfId="0" applyFont="1" applyBorder="1" applyAlignment="1">
      <alignment horizontal="right" vertical="center"/>
    </xf>
    <xf numFmtId="0" fontId="5" fillId="0" borderId="0" xfId="0" applyFont="1" applyAlignment="1">
      <alignment vertical="center"/>
    </xf>
    <xf numFmtId="0" fontId="8" fillId="0" borderId="0" xfId="0" applyFont="1" applyAlignment="1">
      <alignment vertical="center"/>
    </xf>
    <xf numFmtId="0" fontId="3" fillId="0" borderId="12" xfId="0" applyFont="1" applyBorder="1" applyAlignment="1">
      <alignment vertical="center"/>
    </xf>
    <xf numFmtId="166" fontId="0" fillId="0" borderId="0" xfId="0" applyNumberFormat="1" applyAlignment="1">
      <alignment horizontal="center" vertical="top"/>
    </xf>
    <xf numFmtId="0" fontId="3" fillId="0" borderId="0" xfId="0" applyFont="1" applyAlignment="1">
      <alignment vertical="top"/>
    </xf>
    <xf numFmtId="0" fontId="0" fillId="0" borderId="0" xfId="0" applyAlignment="1">
      <alignment horizontal="right" vertical="center"/>
    </xf>
    <xf numFmtId="0" fontId="3" fillId="0" borderId="1" xfId="0" applyFont="1" applyBorder="1" applyAlignment="1">
      <alignmen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center" wrapText="1"/>
    </xf>
    <xf numFmtId="0" fontId="24" fillId="0" borderId="0" xfId="0" applyFont="1" applyAlignment="1">
      <alignment horizontal="center" vertical="center"/>
    </xf>
    <xf numFmtId="166" fontId="3" fillId="0" borderId="0" xfId="0" applyNumberFormat="1" applyFont="1" applyAlignment="1">
      <alignment horizontal="center" vertical="top"/>
    </xf>
    <xf numFmtId="0" fontId="3" fillId="6" borderId="13" xfId="0" applyFont="1" applyFill="1" applyBorder="1" applyAlignment="1">
      <alignment vertical="center"/>
    </xf>
    <xf numFmtId="0" fontId="3" fillId="6" borderId="13" xfId="0" applyFont="1" applyFill="1" applyBorder="1" applyAlignment="1">
      <alignment horizontal="center" vertical="center"/>
    </xf>
    <xf numFmtId="0" fontId="28" fillId="0" borderId="0" xfId="0" applyFont="1"/>
    <xf numFmtId="3" fontId="3" fillId="6" borderId="13" xfId="0" applyNumberFormat="1" applyFont="1" applyFill="1" applyBorder="1" applyAlignment="1">
      <alignment horizontal="center" vertical="center"/>
    </xf>
    <xf numFmtId="1" fontId="3" fillId="6" borderId="13" xfId="0" applyNumberFormat="1" applyFont="1" applyFill="1" applyBorder="1" applyAlignment="1">
      <alignment horizontal="center" vertical="center"/>
    </xf>
    <xf numFmtId="2" fontId="3" fillId="6" borderId="13" xfId="0" applyNumberFormat="1" applyFont="1" applyFill="1" applyBorder="1" applyAlignment="1">
      <alignment horizontal="center" vertical="center"/>
    </xf>
    <xf numFmtId="0" fontId="5" fillId="4" borderId="0" xfId="0" applyFont="1" applyFill="1" applyAlignment="1">
      <alignment horizontal="right" vertical="center"/>
    </xf>
    <xf numFmtId="0" fontId="3" fillId="0" borderId="8" xfId="0" applyFont="1" applyBorder="1" applyAlignment="1">
      <alignment vertical="center"/>
    </xf>
    <xf numFmtId="0" fontId="3" fillId="0" borderId="3" xfId="0" applyFont="1" applyBorder="1" applyAlignment="1">
      <alignment horizontal="right" vertical="center"/>
    </xf>
    <xf numFmtId="0" fontId="15" fillId="0" borderId="13" xfId="0" applyFont="1" applyBorder="1" applyAlignment="1">
      <alignment horizontal="center" vertical="center"/>
    </xf>
    <xf numFmtId="166" fontId="3" fillId="0" borderId="0" xfId="0" applyNumberFormat="1" applyFont="1" applyAlignment="1">
      <alignment vertical="center"/>
    </xf>
    <xf numFmtId="166" fontId="0" fillId="0" borderId="0" xfId="0" applyNumberFormat="1" applyAlignment="1">
      <alignment vertical="center"/>
    </xf>
    <xf numFmtId="0" fontId="21" fillId="0" borderId="0" xfId="0" applyFont="1" applyAlignment="1">
      <alignment horizontal="center" vertical="center"/>
    </xf>
    <xf numFmtId="166" fontId="3" fillId="0" borderId="0" xfId="0" applyNumberFormat="1" applyFont="1" applyAlignment="1">
      <alignment horizontal="left" vertical="center"/>
    </xf>
    <xf numFmtId="174" fontId="3" fillId="0" borderId="0" xfId="0" applyNumberFormat="1" applyFont="1" applyAlignment="1">
      <alignment horizontal="right" vertical="center"/>
    </xf>
    <xf numFmtId="0" fontId="15" fillId="0" borderId="0" xfId="0" applyFont="1" applyAlignment="1">
      <alignment horizontal="center" vertical="center"/>
    </xf>
    <xf numFmtId="0" fontId="3" fillId="0" borderId="0" xfId="0" applyFont="1" applyAlignment="1">
      <alignment horizontal="center" vertical="center" textRotation="90" wrapText="1"/>
    </xf>
    <xf numFmtId="3" fontId="3" fillId="0" borderId="0" xfId="0" applyNumberFormat="1" applyFont="1" applyAlignment="1">
      <alignment horizontal="center" vertical="center"/>
    </xf>
    <xf numFmtId="0" fontId="3" fillId="0" borderId="13" xfId="0" applyFont="1" applyBorder="1" applyAlignment="1" applyProtection="1">
      <alignment horizontal="center" vertical="center"/>
      <protection locked="0"/>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0" fontId="5" fillId="3" borderId="3" xfId="0" applyFont="1" applyFill="1" applyBorder="1" applyAlignment="1">
      <alignment horizontal="right" vertical="center"/>
    </xf>
    <xf numFmtId="175" fontId="3" fillId="6" borderId="13" xfId="0" applyNumberFormat="1" applyFont="1" applyFill="1" applyBorder="1" applyAlignment="1">
      <alignment vertical="center"/>
    </xf>
    <xf numFmtId="1" fontId="3" fillId="0" borderId="3" xfId="0" applyNumberFormat="1" applyFont="1" applyBorder="1" applyAlignment="1">
      <alignment vertical="center"/>
    </xf>
    <xf numFmtId="2" fontId="3" fillId="6" borderId="0" xfId="0" applyNumberFormat="1" applyFont="1" applyFill="1" applyAlignment="1">
      <alignment horizontal="center" vertical="center"/>
    </xf>
    <xf numFmtId="0" fontId="18" fillId="0" borderId="0" xfId="0" applyFont="1" applyAlignment="1">
      <alignment vertical="center" wrapText="1"/>
    </xf>
    <xf numFmtId="0" fontId="3" fillId="8" borderId="0" xfId="0" applyFont="1" applyFill="1" applyAlignment="1">
      <alignment horizontal="center" vertical="center"/>
    </xf>
    <xf numFmtId="2" fontId="0" fillId="0" borderId="0" xfId="0" applyNumberFormat="1" applyAlignment="1">
      <alignment horizontal="center"/>
    </xf>
    <xf numFmtId="2" fontId="0" fillId="0" borderId="0" xfId="0" applyNumberFormat="1" applyAlignment="1">
      <alignment horizontal="center" vertical="center"/>
    </xf>
    <xf numFmtId="169" fontId="0" fillId="0" borderId="0" xfId="0" quotePrefix="1" applyNumberFormat="1" applyAlignment="1">
      <alignment horizontal="center"/>
    </xf>
    <xf numFmtId="168" fontId="0" fillId="0" borderId="0" xfId="0" applyNumberFormat="1" applyAlignment="1">
      <alignment horizontal="center"/>
    </xf>
    <xf numFmtId="168" fontId="0" fillId="0" borderId="0" xfId="0" quotePrefix="1" applyNumberFormat="1" applyAlignment="1">
      <alignment horizontal="center"/>
    </xf>
    <xf numFmtId="168" fontId="0" fillId="7" borderId="14" xfId="0" applyNumberFormat="1" applyFill="1" applyBorder="1" applyAlignment="1">
      <alignment horizontal="center"/>
    </xf>
    <xf numFmtId="0" fontId="0" fillId="7" borderId="14" xfId="0" applyFill="1" applyBorder="1" applyAlignment="1">
      <alignment horizontal="center"/>
    </xf>
    <xf numFmtId="169" fontId="0" fillId="0" borderId="0" xfId="0" applyNumberFormat="1" applyAlignment="1">
      <alignment horizontal="center"/>
    </xf>
    <xf numFmtId="0" fontId="1" fillId="6" borderId="0" xfId="0" applyFont="1" applyFill="1" applyAlignment="1">
      <alignment horizontal="center" vertical="center"/>
    </xf>
    <xf numFmtId="0" fontId="3" fillId="6" borderId="0" xfId="0" applyFont="1" applyFill="1" applyAlignment="1">
      <alignment horizontal="center" vertical="top"/>
    </xf>
    <xf numFmtId="0" fontId="3" fillId="8" borderId="13" xfId="0" applyFont="1" applyFill="1" applyBorder="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168" fontId="0" fillId="0" borderId="0" xfId="0" applyNumberFormat="1" applyAlignment="1">
      <alignment horizontal="center" vertical="center"/>
    </xf>
    <xf numFmtId="0" fontId="3" fillId="0" borderId="12" xfId="0" applyFont="1" applyBorder="1" applyAlignment="1">
      <alignment horizontal="right" vertical="center"/>
    </xf>
    <xf numFmtId="1" fontId="3" fillId="6" borderId="16" xfId="0" applyNumberFormat="1" applyFont="1" applyFill="1" applyBorder="1" applyAlignment="1">
      <alignment horizontal="center" vertical="center"/>
    </xf>
    <xf numFmtId="0" fontId="28" fillId="0" borderId="0" xfId="0" applyFont="1" applyAlignment="1">
      <alignment horizontal="right" vertical="center"/>
    </xf>
    <xf numFmtId="0" fontId="9" fillId="0" borderId="0" xfId="0" applyFont="1" applyAlignment="1">
      <alignment horizontal="right" vertical="center"/>
    </xf>
    <xf numFmtId="0" fontId="15" fillId="6" borderId="0" xfId="0" applyFont="1" applyFill="1" applyAlignment="1">
      <alignment vertical="center"/>
    </xf>
    <xf numFmtId="0" fontId="15" fillId="6" borderId="13" xfId="0" applyFont="1" applyFill="1" applyBorder="1" applyAlignment="1">
      <alignment horizontal="center" vertical="center"/>
    </xf>
    <xf numFmtId="0" fontId="15" fillId="6" borderId="0" xfId="0" applyFont="1" applyFill="1" applyAlignment="1">
      <alignment horizontal="center" vertical="center"/>
    </xf>
    <xf numFmtId="166" fontId="15" fillId="6" borderId="0" xfId="0" applyNumberFormat="1" applyFont="1" applyFill="1" applyAlignment="1">
      <alignment horizontal="center" vertical="center"/>
    </xf>
    <xf numFmtId="0" fontId="0" fillId="0" borderId="20" xfId="0" applyBorder="1" applyAlignment="1">
      <alignment horizontal="right" vertical="center"/>
    </xf>
    <xf numFmtId="177" fontId="0" fillId="0" borderId="21" xfId="0" applyNumberFormat="1" applyBorder="1" applyAlignment="1">
      <alignment horizontal="center"/>
    </xf>
    <xf numFmtId="0" fontId="0" fillId="0" borderId="22" xfId="0" applyBorder="1" applyAlignment="1">
      <alignment horizontal="right" vertical="center"/>
    </xf>
    <xf numFmtId="0" fontId="0" fillId="10" borderId="23" xfId="0" applyFill="1" applyBorder="1" applyAlignment="1">
      <alignment horizontal="center"/>
    </xf>
    <xf numFmtId="177" fontId="0" fillId="10" borderId="14" xfId="0" applyNumberFormat="1" applyFill="1" applyBorder="1" applyAlignment="1">
      <alignment horizontal="center"/>
    </xf>
    <xf numFmtId="177"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31" fillId="9" borderId="17"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right" vertical="center" indent="1"/>
    </xf>
    <xf numFmtId="0" fontId="9" fillId="0" borderId="13" xfId="0" applyFont="1" applyBorder="1" applyAlignment="1" applyProtection="1">
      <alignment horizontal="center" vertical="center"/>
      <protection locked="0"/>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9" fillId="6" borderId="0" xfId="0" applyFont="1" applyFill="1" applyAlignment="1">
      <alignment horizontal="right" vertical="center"/>
    </xf>
    <xf numFmtId="0" fontId="9" fillId="6" borderId="0" xfId="0" applyFont="1" applyFill="1" applyAlignment="1">
      <alignment horizontal="center"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0" fontId="31" fillId="9" borderId="18" xfId="0" applyFont="1" applyFill="1" applyBorder="1" applyAlignment="1">
      <alignment horizontal="center" vertical="center"/>
    </xf>
    <xf numFmtId="0" fontId="31" fillId="9" borderId="19" xfId="0" applyFont="1" applyFill="1" applyBorder="1" applyAlignment="1">
      <alignment horizontal="center" vertical="center"/>
    </xf>
    <xf numFmtId="169" fontId="15" fillId="0" borderId="0" xfId="0" applyNumberFormat="1" applyFont="1" applyAlignment="1">
      <alignment horizontal="left" vertical="center"/>
    </xf>
    <xf numFmtId="0" fontId="28"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0" borderId="1" xfId="0"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2"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4" fontId="3" fillId="0" borderId="2" xfId="0" applyNumberFormat="1" applyFont="1" applyBorder="1" applyAlignment="1" applyProtection="1">
      <alignment horizontal="right" vertical="center"/>
      <protection locked="0"/>
    </xf>
    <xf numFmtId="1" fontId="3" fillId="0" borderId="2"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3" fontId="3" fillId="0" borderId="2" xfId="0" applyNumberFormat="1" applyFont="1" applyBorder="1" applyAlignment="1" applyProtection="1">
      <alignment horizontal="right" vertical="center"/>
      <protection locked="0"/>
    </xf>
    <xf numFmtId="0" fontId="3" fillId="0" borderId="0" xfId="0" applyFont="1" applyAlignment="1">
      <alignment horizontal="center" vertical="center"/>
    </xf>
    <xf numFmtId="3" fontId="3" fillId="0" borderId="1"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0" fontId="14" fillId="0" borderId="0" xfId="0" applyFont="1" applyAlignment="1">
      <alignment horizontal="left" vertical="center"/>
    </xf>
    <xf numFmtId="0" fontId="2" fillId="0" borderId="0" xfId="0" applyFont="1" applyAlignment="1">
      <alignment horizontal="right" vertical="center" wrapText="1"/>
    </xf>
    <xf numFmtId="0" fontId="3" fillId="0" borderId="0" xfId="0" applyFont="1" applyAlignment="1">
      <alignment horizontal="left" vertical="center"/>
    </xf>
    <xf numFmtId="175" fontId="3" fillId="0" borderId="1" xfId="0" applyNumberFormat="1" applyFont="1" applyBorder="1" applyAlignment="1" applyProtection="1">
      <alignment horizontal="right" vertical="center"/>
      <protection hidden="1"/>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168" fontId="18" fillId="0" borderId="0" xfId="0" applyNumberFormat="1" applyFont="1" applyAlignment="1">
      <alignment horizontal="left" vertical="center"/>
    </xf>
    <xf numFmtId="0" fontId="3" fillId="0" borderId="1" xfId="0" applyFont="1" applyBorder="1" applyAlignment="1" applyProtection="1">
      <alignment horizontal="left" vertical="center"/>
      <protection hidden="1"/>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29" fillId="0" borderId="1" xfId="1" applyFont="1" applyBorder="1" applyAlignment="1" applyProtection="1">
      <alignment horizontal="left" vertical="center"/>
      <protection locked="0"/>
    </xf>
    <xf numFmtId="3" fontId="3" fillId="0" borderId="2"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0" fontId="0" fillId="0" borderId="0" xfId="0" applyAlignment="1">
      <alignment horizontal="left" vertical="center" wrapText="1"/>
    </xf>
    <xf numFmtId="4" fontId="3" fillId="0" borderId="1" xfId="0" applyNumberFormat="1" applyFont="1" applyBorder="1" applyAlignment="1" applyProtection="1">
      <alignment horizontal="right" vertical="center"/>
      <protection hidden="1"/>
    </xf>
    <xf numFmtId="4" fontId="3" fillId="0" borderId="1" xfId="0" quotePrefix="1" applyNumberFormat="1" applyFont="1" applyBorder="1" applyAlignment="1" applyProtection="1">
      <alignment horizontal="right" vertical="center"/>
      <protection locked="0"/>
    </xf>
    <xf numFmtId="2" fontId="3" fillId="0" borderId="0" xfId="0" applyNumberFormat="1" applyFont="1" applyAlignment="1">
      <alignment horizontal="right" vertical="center"/>
    </xf>
    <xf numFmtId="0" fontId="3" fillId="0" borderId="0" xfId="0" applyFont="1" applyAlignment="1">
      <alignment horizontal="center" vertical="center" textRotation="90" wrapText="1"/>
    </xf>
    <xf numFmtId="0" fontId="3" fillId="0" borderId="0" xfId="0" applyFont="1" applyAlignment="1" applyProtection="1">
      <alignment horizontal="right" vertical="center"/>
      <protection locked="0"/>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0" borderId="0" xfId="0" applyFont="1" applyAlignment="1">
      <alignment horizontal="center" vertical="center" wrapText="1"/>
    </xf>
    <xf numFmtId="170" fontId="3" fillId="0" borderId="2"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6" fontId="3" fillId="0" borderId="1"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3" fontId="3" fillId="0" borderId="1" xfId="0" applyNumberFormat="1" applyFont="1" applyBorder="1" applyAlignment="1" applyProtection="1">
      <alignment horizontal="center"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174"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173" fontId="3" fillId="0" borderId="2" xfId="0" applyNumberFormat="1" applyFont="1" applyBorder="1" applyAlignment="1">
      <alignment vertical="center"/>
    </xf>
    <xf numFmtId="0" fontId="3" fillId="0" borderId="1" xfId="0" applyFont="1" applyBorder="1" applyAlignment="1">
      <alignment horizontal="center" vertical="center"/>
    </xf>
    <xf numFmtId="164" fontId="3" fillId="3" borderId="2" xfId="0" applyNumberFormat="1" applyFont="1" applyFill="1" applyBorder="1" applyAlignment="1">
      <alignment horizontal="left" vertical="center"/>
    </xf>
    <xf numFmtId="0" fontId="3" fillId="0" borderId="2" xfId="0" applyFont="1" applyBorder="1" applyAlignment="1">
      <alignment horizontal="center" vertical="center"/>
    </xf>
    <xf numFmtId="2" fontId="3" fillId="0" borderId="2" xfId="0" applyNumberFormat="1" applyFont="1" applyBorder="1" applyAlignment="1">
      <alignment horizontal="right" vertical="center"/>
    </xf>
    <xf numFmtId="0" fontId="3" fillId="0" borderId="2" xfId="0" applyFont="1" applyBorder="1" applyAlignment="1">
      <alignment horizontal="right" vertical="center"/>
    </xf>
    <xf numFmtId="172" fontId="3" fillId="0" borderId="1" xfId="0" applyNumberFormat="1" applyFont="1" applyBorder="1" applyAlignment="1" applyProtection="1">
      <alignment horizontal="center" vertical="center"/>
      <protection locked="0"/>
    </xf>
    <xf numFmtId="2"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0" xfId="0" quotePrefix="1" applyFont="1" applyAlignment="1">
      <alignment horizontal="center" vertical="center"/>
    </xf>
    <xf numFmtId="0" fontId="9" fillId="3" borderId="0" xfId="0" applyFont="1" applyFill="1" applyAlignment="1">
      <alignment horizontal="left" vertical="center"/>
    </xf>
    <xf numFmtId="0" fontId="3" fillId="0" borderId="3" xfId="0" applyFont="1" applyBorder="1" applyAlignment="1">
      <alignment horizontal="center" vertical="center"/>
    </xf>
    <xf numFmtId="2" fontId="3" fillId="0" borderId="2" xfId="0" applyNumberFormat="1" applyFont="1" applyBorder="1" applyAlignment="1" applyProtection="1">
      <alignment horizontal="right" vertical="center"/>
      <protection hidden="1"/>
    </xf>
    <xf numFmtId="3" fontId="3" fillId="0" borderId="1" xfId="0" applyNumberFormat="1" applyFont="1" applyBorder="1" applyAlignment="1">
      <alignment horizontal="right" vertical="center"/>
    </xf>
    <xf numFmtId="2" fontId="3" fillId="0" borderId="1" xfId="0" applyNumberFormat="1" applyFont="1" applyBorder="1" applyAlignment="1" applyProtection="1">
      <alignment horizontal="right" vertical="center"/>
      <protection hidden="1"/>
    </xf>
    <xf numFmtId="0" fontId="3" fillId="0" borderId="2" xfId="0" applyFont="1" applyBorder="1" applyAlignment="1" applyProtection="1">
      <alignment horizontal="left" vertical="center"/>
      <protection hidden="1"/>
    </xf>
    <xf numFmtId="0" fontId="9" fillId="4" borderId="0" xfId="0" applyFont="1" applyFill="1" applyAlignment="1">
      <alignment horizontal="left" vertical="center"/>
    </xf>
    <xf numFmtId="1" fontId="3" fillId="0" borderId="1" xfId="0" applyNumberFormat="1" applyFont="1" applyBorder="1" applyAlignment="1">
      <alignment horizontal="right" vertical="center"/>
    </xf>
    <xf numFmtId="171" fontId="3" fillId="0" borderId="2" xfId="0" applyNumberFormat="1" applyFont="1" applyBorder="1" applyAlignment="1" applyProtection="1">
      <alignment horizontal="right" vertical="center"/>
      <protection locked="0"/>
    </xf>
    <xf numFmtId="170" fontId="3" fillId="0" borderId="2" xfId="0" applyNumberFormat="1" applyFont="1" applyBorder="1" applyAlignment="1" applyProtection="1">
      <alignment horizontal="center" vertical="center"/>
      <protection locked="0"/>
    </xf>
    <xf numFmtId="170" fontId="3"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4" fontId="3" fillId="0" borderId="2" xfId="0" applyNumberFormat="1" applyFont="1" applyBorder="1" applyAlignment="1">
      <alignment horizontal="right" vertical="center"/>
    </xf>
    <xf numFmtId="4" fontId="3" fillId="0" borderId="2" xfId="0" applyNumberFormat="1" applyFont="1" applyBorder="1" applyAlignment="1" applyProtection="1">
      <alignment horizontal="right" vertical="center"/>
      <protection hidden="1"/>
    </xf>
    <xf numFmtId="0" fontId="11" fillId="0" borderId="2" xfId="1" applyBorder="1" applyAlignment="1" applyProtection="1">
      <alignment horizontal="left" vertical="center"/>
      <protection locked="0"/>
    </xf>
    <xf numFmtId="164" fontId="3" fillId="0" borderId="2"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hidden="1"/>
    </xf>
    <xf numFmtId="0" fontId="18" fillId="0" borderId="3" xfId="0" applyFont="1" applyBorder="1" applyAlignment="1">
      <alignment horizontal="center" vertical="center" wrapText="1"/>
    </xf>
    <xf numFmtId="4" fontId="3" fillId="0" borderId="1" xfId="0" applyNumberFormat="1" applyFont="1" applyBorder="1" applyAlignment="1" applyProtection="1">
      <alignment vertical="center"/>
      <protection locked="0"/>
    </xf>
    <xf numFmtId="0" fontId="3" fillId="0" borderId="0" xfId="0" applyFont="1" applyAlignment="1">
      <alignment horizontal="left" vertical="top" wrapText="1"/>
    </xf>
    <xf numFmtId="176" fontId="3" fillId="0" borderId="1" xfId="0" applyNumberFormat="1" applyFont="1" applyBorder="1" applyAlignment="1">
      <alignment horizontal="right" vertical="center"/>
    </xf>
    <xf numFmtId="4" fontId="3" fillId="0" borderId="2" xfId="0" applyNumberFormat="1" applyFont="1" applyBorder="1" applyAlignment="1" applyProtection="1">
      <alignment vertical="center"/>
      <protection locked="0"/>
    </xf>
  </cellXfs>
  <cellStyles count="3">
    <cellStyle name="Hyperlink" xfId="1" builtinId="8"/>
    <cellStyle name="Normal" xfId="0" builtinId="0"/>
    <cellStyle name="Percent" xfId="2" builtinId="5"/>
  </cellStyles>
  <dxfs count="426">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179"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numFmt numFmtId="175"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5" formatCode="#,##0.0000"/>
    </dxf>
    <dxf>
      <fill>
        <patternFill>
          <bgColor theme="5"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3" formatCode="#,##0"/>
    </dxf>
    <dxf>
      <numFmt numFmtId="175" formatCode="#,##0.0000"/>
    </dxf>
    <dxf>
      <fill>
        <patternFill>
          <bgColor theme="9" tint="0.59996337778862885"/>
        </patternFill>
      </fill>
    </dxf>
    <dxf>
      <numFmt numFmtId="3" formatCode="#,##0"/>
    </dxf>
    <dxf>
      <numFmt numFmtId="175"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g"/><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122451</xdr:colOff>
      <xdr:row>44</xdr:row>
      <xdr:rowOff>39544</xdr:rowOff>
    </xdr:from>
    <xdr:to>
      <xdr:col>7</xdr:col>
      <xdr:colOff>968906</xdr:colOff>
      <xdr:row>44</xdr:row>
      <xdr:rowOff>763640</xdr:rowOff>
    </xdr:to>
    <xdr:pic>
      <xdr:nvPicPr>
        <xdr:cNvPr id="8" name="Picture 7">
          <a:extLst>
            <a:ext uri="{FF2B5EF4-FFF2-40B4-BE49-F238E27FC236}">
              <a16:creationId xmlns:a16="http://schemas.microsoft.com/office/drawing/2014/main" id="{70F152F3-C505-469E-8B69-356CA57DA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200931" y="9343564"/>
          <a:ext cx="838835" cy="724096"/>
        </a:xfrm>
        <a:prstGeom prst="rect">
          <a:avLst/>
        </a:prstGeom>
        <a:noFill/>
        <a:ln>
          <a:noFill/>
        </a:ln>
      </xdr:spPr>
    </xdr:pic>
    <xdr:clientData/>
  </xdr:twoCellAnchor>
  <xdr:twoCellAnchor editAs="oneCell">
    <xdr:from>
      <xdr:col>5</xdr:col>
      <xdr:colOff>131095</xdr:colOff>
      <xdr:row>43</xdr:row>
      <xdr:rowOff>73991</xdr:rowOff>
    </xdr:from>
    <xdr:to>
      <xdr:col>5</xdr:col>
      <xdr:colOff>935004</xdr:colOff>
      <xdr:row>43</xdr:row>
      <xdr:rowOff>784556</xdr:rowOff>
    </xdr:to>
    <xdr:pic>
      <xdr:nvPicPr>
        <xdr:cNvPr id="10" name="Picture 9">
          <a:extLst>
            <a:ext uri="{FF2B5EF4-FFF2-40B4-BE49-F238E27FC236}">
              <a16:creationId xmlns:a16="http://schemas.microsoft.com/office/drawing/2014/main" id="{3B4983CD-53DB-4379-A322-9D8F6469C4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350920" y="10456241"/>
          <a:ext cx="800099" cy="714375"/>
        </a:xfrm>
        <a:prstGeom prst="rect">
          <a:avLst/>
        </a:prstGeom>
        <a:noFill/>
        <a:ln>
          <a:noFill/>
        </a:ln>
      </xdr:spPr>
    </xdr:pic>
    <xdr:clientData/>
  </xdr:twoCellAnchor>
  <xdr:twoCellAnchor editAs="oneCell">
    <xdr:from>
      <xdr:col>5</xdr:col>
      <xdr:colOff>191277</xdr:colOff>
      <xdr:row>40</xdr:row>
      <xdr:rowOff>16994</xdr:rowOff>
    </xdr:from>
    <xdr:to>
      <xdr:col>5</xdr:col>
      <xdr:colOff>915177</xdr:colOff>
      <xdr:row>40</xdr:row>
      <xdr:rowOff>741862</xdr:rowOff>
    </xdr:to>
    <xdr:pic>
      <xdr:nvPicPr>
        <xdr:cNvPr id="11" name="Picture 10">
          <a:extLst>
            <a:ext uri="{FF2B5EF4-FFF2-40B4-BE49-F238E27FC236}">
              <a16:creationId xmlns:a16="http://schemas.microsoft.com/office/drawing/2014/main" id="{4077AC5B-34F3-43BA-82B7-2D9CB4555C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1102" y="7122644"/>
          <a:ext cx="723900" cy="724868"/>
        </a:xfrm>
        <a:prstGeom prst="rect">
          <a:avLst/>
        </a:prstGeom>
        <a:ln>
          <a:noFill/>
        </a:ln>
      </xdr:spPr>
    </xdr:pic>
    <xdr:clientData/>
  </xdr:twoCellAnchor>
  <xdr:twoCellAnchor editAs="oneCell">
    <xdr:from>
      <xdr:col>5</xdr:col>
      <xdr:colOff>110756</xdr:colOff>
      <xdr:row>42</xdr:row>
      <xdr:rowOff>56083</xdr:rowOff>
    </xdr:from>
    <xdr:to>
      <xdr:col>5</xdr:col>
      <xdr:colOff>933414</xdr:colOff>
      <xdr:row>42</xdr:row>
      <xdr:rowOff>764743</xdr:rowOff>
    </xdr:to>
    <xdr:pic>
      <xdr:nvPicPr>
        <xdr:cNvPr id="12" name="Picture 11">
          <a:extLst>
            <a:ext uri="{FF2B5EF4-FFF2-40B4-BE49-F238E27FC236}">
              <a16:creationId xmlns:a16="http://schemas.microsoft.com/office/drawing/2014/main" id="{9D7129C9-39DC-4BC2-84EF-13FA6D3AAC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330581" y="9619183"/>
          <a:ext cx="826468" cy="708660"/>
        </a:xfrm>
        <a:prstGeom prst="rect">
          <a:avLst/>
        </a:prstGeom>
        <a:noFill/>
        <a:ln>
          <a:noFill/>
        </a:ln>
      </xdr:spPr>
    </xdr:pic>
    <xdr:clientData/>
  </xdr:twoCellAnchor>
  <xdr:twoCellAnchor editAs="oneCell">
    <xdr:from>
      <xdr:col>5</xdr:col>
      <xdr:colOff>188084</xdr:colOff>
      <xdr:row>41</xdr:row>
      <xdr:rowOff>67033</xdr:rowOff>
    </xdr:from>
    <xdr:to>
      <xdr:col>5</xdr:col>
      <xdr:colOff>899153</xdr:colOff>
      <xdr:row>41</xdr:row>
      <xdr:rowOff>779503</xdr:rowOff>
    </xdr:to>
    <xdr:pic>
      <xdr:nvPicPr>
        <xdr:cNvPr id="13" name="Picture 12" descr="Logo&#10;&#10;Description automatically generated">
          <a:extLst>
            <a:ext uri="{FF2B5EF4-FFF2-40B4-BE49-F238E27FC236}">
              <a16:creationId xmlns:a16="http://schemas.microsoft.com/office/drawing/2014/main" id="{D5373D23-8748-4E41-9ABE-424021CC21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407909" y="8810983"/>
          <a:ext cx="707259" cy="7258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38</xdr:row>
          <xdr:rowOff>169769</xdr:rowOff>
        </xdr:from>
        <xdr:to>
          <xdr:col>7</xdr:col>
          <xdr:colOff>1424940</xdr:colOff>
          <xdr:row>40</xdr:row>
          <xdr:rowOff>224</xdr:rowOff>
        </xdr:to>
        <xdr:pic>
          <xdr:nvPicPr>
            <xdr:cNvPr id="14" name="Picture 13">
              <a:extLst>
                <a:ext uri="{FF2B5EF4-FFF2-40B4-BE49-F238E27FC236}">
                  <a16:creationId xmlns:a16="http://schemas.microsoft.com/office/drawing/2014/main" id="{B95C23DE-C582-7E08-C634-C78D831C316B}"/>
                </a:ext>
              </a:extLst>
            </xdr:cNvPr>
            <xdr:cNvPicPr>
              <a:picLocks noChangeAspect="1" noChangeArrowheads="1"/>
              <a:extLst>
                <a:ext uri="{84589F7E-364E-4C9E-8A38-B11213B215E9}">
                  <a14:cameraTool cellRange="Logo" spid="_x0000_s1957"/>
                </a:ext>
              </a:extLst>
            </xdr:cNvPicPr>
          </xdr:nvPicPr>
          <xdr:blipFill>
            <a:blip xmlns:r="http://schemas.openxmlformats.org/officeDocument/2006/relationships" r:embed="rId6"/>
            <a:srcRect/>
            <a:stretch>
              <a:fillRect/>
            </a:stretch>
          </xdr:blipFill>
          <xdr:spPr bwMode="auto">
            <a:xfrm>
              <a:off x="7962900" y="7094444"/>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5</xdr:col>
      <xdr:colOff>53340</xdr:colOff>
      <xdr:row>44</xdr:row>
      <xdr:rowOff>175260</xdr:rowOff>
    </xdr:from>
    <xdr:to>
      <xdr:col>5</xdr:col>
      <xdr:colOff>1408471</xdr:colOff>
      <xdr:row>44</xdr:row>
      <xdr:rowOff>667318</xdr:rowOff>
    </xdr:to>
    <xdr:pic>
      <xdr:nvPicPr>
        <xdr:cNvPr id="2" name="Picture 1">
          <a:extLst>
            <a:ext uri="{FF2B5EF4-FFF2-40B4-BE49-F238E27FC236}">
              <a16:creationId xmlns:a16="http://schemas.microsoft.com/office/drawing/2014/main" id="{A4D6F66C-C82E-46C4-A171-D1982371645D}"/>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737360" y="9479280"/>
          <a:ext cx="1355131" cy="495868"/>
        </a:xfrm>
        <a:prstGeom prst="rect">
          <a:avLst/>
        </a:prstGeom>
      </xdr:spPr>
    </xdr:pic>
    <xdr:clientData/>
  </xdr:twoCellAnchor>
  <xdr:twoCellAnchor editAs="oneCell">
    <xdr:from>
      <xdr:col>5</xdr:col>
      <xdr:colOff>114300</xdr:colOff>
      <xdr:row>39</xdr:row>
      <xdr:rowOff>7620</xdr:rowOff>
    </xdr:from>
    <xdr:to>
      <xdr:col>5</xdr:col>
      <xdr:colOff>932180</xdr:colOff>
      <xdr:row>40</xdr:row>
      <xdr:rowOff>3175</xdr:rowOff>
    </xdr:to>
    <xdr:pic>
      <xdr:nvPicPr>
        <xdr:cNvPr id="3" name="Picture 2">
          <a:extLst>
            <a:ext uri="{FF2B5EF4-FFF2-40B4-BE49-F238E27FC236}">
              <a16:creationId xmlns:a16="http://schemas.microsoft.com/office/drawing/2014/main" id="{661ED613-68DC-40AB-B231-44EFFA238329}"/>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271260" y="7178040"/>
          <a:ext cx="817880" cy="8166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32</xdr:col>
      <xdr:colOff>11430</xdr:colOff>
      <xdr:row>52</xdr:row>
      <xdr:rowOff>52070</xdr:rowOff>
    </xdr:from>
    <xdr:ext cx="712568" cy="259080"/>
    <xdr:pic>
      <xdr:nvPicPr>
        <xdr:cNvPr id="4" name="Picture 3">
          <a:extLst>
            <a:ext uri="{FF2B5EF4-FFF2-40B4-BE49-F238E27FC236}">
              <a16:creationId xmlns:a16="http://schemas.microsoft.com/office/drawing/2014/main" id="{1C5ACB0A-84DC-4EC6-A890-BADCA8A58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0430" y="8542020"/>
          <a:ext cx="712568" cy="259080"/>
        </a:xfrm>
        <a:prstGeom prst="rect">
          <a:avLst/>
        </a:prstGeom>
      </xdr:spPr>
    </xdr:pic>
    <xdr:clientData/>
  </xdr:oneCellAnchor>
  <xdr:oneCellAnchor>
    <xdr:from>
      <xdr:col>32</xdr:col>
      <xdr:colOff>21590</xdr:colOff>
      <xdr:row>106</xdr:row>
      <xdr:rowOff>76200</xdr:rowOff>
    </xdr:from>
    <xdr:ext cx="712568" cy="259080"/>
    <xdr:pic>
      <xdr:nvPicPr>
        <xdr:cNvPr id="7" name="Picture 6">
          <a:extLst>
            <a:ext uri="{FF2B5EF4-FFF2-40B4-BE49-F238E27FC236}">
              <a16:creationId xmlns:a16="http://schemas.microsoft.com/office/drawing/2014/main" id="{AA3794DE-35E5-4176-BE76-E69E12556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16706850"/>
          <a:ext cx="712568" cy="259080"/>
        </a:xfrm>
        <a:prstGeom prst="rect">
          <a:avLst/>
        </a:prstGeom>
      </xdr:spPr>
    </xdr:pic>
    <xdr:clientData/>
  </xdr:oneCellAnchor>
  <xdr:oneCellAnchor>
    <xdr:from>
      <xdr:col>32</xdr:col>
      <xdr:colOff>27940</xdr:colOff>
      <xdr:row>155</xdr:row>
      <xdr:rowOff>50800</xdr:rowOff>
    </xdr:from>
    <xdr:ext cx="712568" cy="259080"/>
    <xdr:pic>
      <xdr:nvPicPr>
        <xdr:cNvPr id="8" name="Picture 7">
          <a:extLst>
            <a:ext uri="{FF2B5EF4-FFF2-40B4-BE49-F238E27FC236}">
              <a16:creationId xmlns:a16="http://schemas.microsoft.com/office/drawing/2014/main" id="{EFBDF929-A5B5-4959-8424-793D04C56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0440" y="24930100"/>
          <a:ext cx="712568" cy="259080"/>
        </a:xfrm>
        <a:prstGeom prst="rect">
          <a:avLst/>
        </a:prstGeom>
      </xdr:spPr>
    </xdr:pic>
    <xdr:clientData/>
  </xdr:oneCellAnchor>
  <xdr:oneCellAnchor>
    <xdr:from>
      <xdr:col>31</xdr:col>
      <xdr:colOff>186690</xdr:colOff>
      <xdr:row>208</xdr:row>
      <xdr:rowOff>60960</xdr:rowOff>
    </xdr:from>
    <xdr:ext cx="712568" cy="259080"/>
    <xdr:pic>
      <xdr:nvPicPr>
        <xdr:cNvPr id="9" name="Picture 8">
          <a:extLst>
            <a:ext uri="{FF2B5EF4-FFF2-40B4-BE49-F238E27FC236}">
              <a16:creationId xmlns:a16="http://schemas.microsoft.com/office/drawing/2014/main" id="{3CDA7D7D-448A-4DC6-8931-81A23BA34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9810" y="3384804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168275</xdr:colOff>
          <xdr:row>5</xdr:row>
          <xdr:rowOff>0</xdr:rowOff>
        </xdr:to>
        <xdr:pic>
          <xdr:nvPicPr>
            <xdr:cNvPr id="10" name="Picture 9">
              <a:extLst>
                <a:ext uri="{FF2B5EF4-FFF2-40B4-BE49-F238E27FC236}">
                  <a16:creationId xmlns:a16="http://schemas.microsoft.com/office/drawing/2014/main" id="{B1B9D839-1279-8B78-7FAB-14002F067704}"/>
                </a:ext>
              </a:extLst>
            </xdr:cNvPr>
            <xdr:cNvPicPr>
              <a:picLocks noChangeAspect="1" noChangeArrowheads="1"/>
              <a:extLst>
                <a:ext uri="{84589F7E-364E-4C9E-8A38-B11213B215E9}">
                  <a14:cameraTool cellRange="Logo" spid="_x0000_s15112"/>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54</xdr:col>
          <xdr:colOff>17780</xdr:colOff>
          <xdr:row>5</xdr:row>
          <xdr:rowOff>0</xdr:rowOff>
        </xdr:to>
        <xdr:pic>
          <xdr:nvPicPr>
            <xdr:cNvPr id="13" name="Picture 12">
              <a:extLst>
                <a:ext uri="{FF2B5EF4-FFF2-40B4-BE49-F238E27FC236}">
                  <a16:creationId xmlns:a16="http://schemas.microsoft.com/office/drawing/2014/main" id="{1F31ED7B-A5E7-96EA-4629-BAEAE044542C}"/>
                </a:ext>
              </a:extLst>
            </xdr:cNvPr>
            <xdr:cNvPicPr>
              <a:picLocks noChangeAspect="1" noChangeArrowheads="1"/>
              <a:extLst>
                <a:ext uri="{84589F7E-364E-4C9E-8A38-B11213B215E9}">
                  <a14:cameraTool cellRange="Logo" spid="_x0000_s15113"/>
                </a:ext>
              </a:extLst>
            </xdr:cNvPicPr>
          </xdr:nvPicPr>
          <xdr:blipFill>
            <a:blip xmlns:r="http://schemas.openxmlformats.org/officeDocument/2006/relationships" r:embed="rId2"/>
            <a:srcRect/>
            <a:stretch>
              <a:fillRect/>
            </a:stretch>
          </xdr:blipFill>
          <xdr:spPr bwMode="auto">
            <a:xfrm>
              <a:off x="711200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166370</xdr:colOff>
      <xdr:row>251</xdr:row>
      <xdr:rowOff>110490</xdr:rowOff>
    </xdr:from>
    <xdr:ext cx="712568" cy="259080"/>
    <xdr:pic>
      <xdr:nvPicPr>
        <xdr:cNvPr id="2" name="Picture 1">
          <a:extLst>
            <a:ext uri="{FF2B5EF4-FFF2-40B4-BE49-F238E27FC236}">
              <a16:creationId xmlns:a16="http://schemas.microsoft.com/office/drawing/2014/main" id="{341CC3D8-F695-42B7-9430-ABBABDC40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9490" y="42198290"/>
          <a:ext cx="712568" cy="259080"/>
        </a:xfrm>
        <a:prstGeom prst="rect">
          <a:avLst/>
        </a:prstGeom>
      </xdr:spPr>
    </xdr:pic>
    <xdr:clientData/>
  </xdr:oneCellAnchor>
  <xdr:twoCellAnchor editAs="oneCell">
    <xdr:from>
      <xdr:col>47</xdr:col>
      <xdr:colOff>65983</xdr:colOff>
      <xdr:row>43</xdr:row>
      <xdr:rowOff>110489</xdr:rowOff>
    </xdr:from>
    <xdr:to>
      <xdr:col>80</xdr:col>
      <xdr:colOff>21590</xdr:colOff>
      <xdr:row>77</xdr:row>
      <xdr:rowOff>58361</xdr:rowOff>
    </xdr:to>
    <xdr:pic>
      <xdr:nvPicPr>
        <xdr:cNvPr id="6" name="Picture 5">
          <a:extLst>
            <a:ext uri="{FF2B5EF4-FFF2-40B4-BE49-F238E27FC236}">
              <a16:creationId xmlns:a16="http://schemas.microsoft.com/office/drawing/2014/main" id="{BCC93712-E70B-4A04-AC14-81889890FCB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39" t="3927" r="7428" b="7645"/>
        <a:stretch/>
      </xdr:blipFill>
      <xdr:spPr>
        <a:xfrm>
          <a:off x="7177983" y="7438389"/>
          <a:ext cx="6319577" cy="5205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1F160BBA-C3A9-4CE3-B0E5-D1224DC8F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911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43</xdr:col>
          <xdr:colOff>98425</xdr:colOff>
          <xdr:row>0</xdr:row>
          <xdr:rowOff>19685</xdr:rowOff>
        </xdr:from>
        <xdr:to>
          <xdr:col>51</xdr:col>
          <xdr:colOff>3175</xdr:colOff>
          <xdr:row>5</xdr:row>
          <xdr:rowOff>19685</xdr:rowOff>
        </xdr:to>
        <xdr:pic>
          <xdr:nvPicPr>
            <xdr:cNvPr id="3" name="Picture 2">
              <a:extLst>
                <a:ext uri="{FF2B5EF4-FFF2-40B4-BE49-F238E27FC236}">
                  <a16:creationId xmlns:a16="http://schemas.microsoft.com/office/drawing/2014/main" id="{4EB23595-2FBD-48D4-B6A0-CDFF261BFBBF}"/>
                </a:ext>
              </a:extLst>
            </xdr:cNvPr>
            <xdr:cNvPicPr>
              <a:picLocks noChangeAspect="1" noChangeArrowheads="1"/>
              <a:extLst>
                <a:ext uri="{84589F7E-364E-4C9E-8A38-B11213B215E9}">
                  <a14:cameraTool cellRange="Logo" spid="_x0000_s22556"/>
                </a:ext>
              </a:extLst>
            </xdr:cNvPicPr>
          </xdr:nvPicPr>
          <xdr:blipFill>
            <a:blip xmlns:r="http://schemas.openxmlformats.org/officeDocument/2006/relationships" r:embed="rId2"/>
            <a:srcRect/>
            <a:stretch>
              <a:fillRect/>
            </a:stretch>
          </xdr:blipFill>
          <xdr:spPr bwMode="auto">
            <a:xfrm>
              <a:off x="7210425" y="19685"/>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117475</xdr:colOff>
      <xdr:row>61</xdr:row>
      <xdr:rowOff>95250</xdr:rowOff>
    </xdr:from>
    <xdr:ext cx="712568" cy="259080"/>
    <xdr:pic>
      <xdr:nvPicPr>
        <xdr:cNvPr id="4" name="Picture 3">
          <a:extLst>
            <a:ext uri="{FF2B5EF4-FFF2-40B4-BE49-F238E27FC236}">
              <a16:creationId xmlns:a16="http://schemas.microsoft.com/office/drawing/2014/main" id="{348D256F-6829-44C0-B774-CE77F99A4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475" y="882015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158750</xdr:colOff>
          <xdr:row>5</xdr:row>
          <xdr:rowOff>0</xdr:rowOff>
        </xdr:to>
        <xdr:pic>
          <xdr:nvPicPr>
            <xdr:cNvPr id="5" name="Picture 4">
              <a:extLst>
                <a:ext uri="{FF2B5EF4-FFF2-40B4-BE49-F238E27FC236}">
                  <a16:creationId xmlns:a16="http://schemas.microsoft.com/office/drawing/2014/main" id="{C4A790F4-928D-48AD-BFD7-3BE875B2F2AF}"/>
                </a:ext>
              </a:extLst>
            </xdr:cNvPr>
            <xdr:cNvPicPr>
              <a:picLocks noChangeAspect="1"/>
              <a:extLst>
                <a:ext uri="{84589F7E-364E-4C9E-8A38-B11213B215E9}">
                  <a14:cameraTool cellRange="Logo" spid="_x0000_s22557"/>
                </a:ext>
              </a:extLst>
            </xdr:cNvPicPr>
          </xdr:nvPicPr>
          <xdr:blipFill rotWithShape="1">
            <a:blip xmlns:r="http://schemas.openxmlformats.org/officeDocument/2006/relationships" r:embed="rId2"/>
            <a:stretch>
              <a:fillRect/>
            </a:stretch>
          </xdr:blipFill>
          <xdr:spPr bwMode="auto">
            <a:xfrm>
              <a:off x="0" y="0"/>
              <a:ext cx="1428750" cy="819150"/>
            </a:xfrm>
            <a:prstGeom prst="rect">
              <a:avLst/>
            </a:prstGeom>
            <a:noFill/>
            <a:ln>
              <a:noFill/>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133985</xdr:colOff>
      <xdr:row>54</xdr:row>
      <xdr:rowOff>50800</xdr:rowOff>
    </xdr:from>
    <xdr:ext cx="712568" cy="259080"/>
    <xdr:pic>
      <xdr:nvPicPr>
        <xdr:cNvPr id="8" name="Picture 7">
          <a:extLst>
            <a:ext uri="{FF2B5EF4-FFF2-40B4-BE49-F238E27FC236}">
              <a16:creationId xmlns:a16="http://schemas.microsoft.com/office/drawing/2014/main" id="{9EA62522-6F19-45BB-B3E9-A32EB4346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9035" y="8547100"/>
          <a:ext cx="712568" cy="259080"/>
        </a:xfrm>
        <a:prstGeom prst="rect">
          <a:avLst/>
        </a:prstGeom>
      </xdr:spPr>
    </xdr:pic>
    <xdr:clientData/>
  </xdr:oneCellAnchor>
  <xdr:oneCellAnchor>
    <xdr:from>
      <xdr:col>33</xdr:col>
      <xdr:colOff>142240</xdr:colOff>
      <xdr:row>106</xdr:row>
      <xdr:rowOff>91440</xdr:rowOff>
    </xdr:from>
    <xdr:ext cx="712568" cy="259080"/>
    <xdr:pic>
      <xdr:nvPicPr>
        <xdr:cNvPr id="9" name="Picture 8">
          <a:extLst>
            <a:ext uri="{FF2B5EF4-FFF2-40B4-BE49-F238E27FC236}">
              <a16:creationId xmlns:a16="http://schemas.microsoft.com/office/drawing/2014/main" id="{D0688AEA-74D5-46DA-ADE8-A01331D07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7280" y="9235440"/>
          <a:ext cx="712568" cy="259080"/>
        </a:xfrm>
        <a:prstGeom prst="rect">
          <a:avLst/>
        </a:prstGeom>
      </xdr:spPr>
    </xdr:pic>
    <xdr:clientData/>
  </xdr:oneCellAnchor>
  <xdr:oneCellAnchor>
    <xdr:from>
      <xdr:col>33</xdr:col>
      <xdr:colOff>142240</xdr:colOff>
      <xdr:row>152</xdr:row>
      <xdr:rowOff>91440</xdr:rowOff>
    </xdr:from>
    <xdr:ext cx="712568" cy="259080"/>
    <xdr:pic>
      <xdr:nvPicPr>
        <xdr:cNvPr id="10" name="Picture 9">
          <a:extLst>
            <a:ext uri="{FF2B5EF4-FFF2-40B4-BE49-F238E27FC236}">
              <a16:creationId xmlns:a16="http://schemas.microsoft.com/office/drawing/2014/main" id="{CE67DC1B-DF1A-4E26-8C0B-4731D8758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7280" y="18003520"/>
          <a:ext cx="712568" cy="259080"/>
        </a:xfrm>
        <a:prstGeom prst="rect">
          <a:avLst/>
        </a:prstGeom>
      </xdr:spPr>
    </xdr:pic>
    <xdr:clientData/>
  </xdr:oneCellAnchor>
  <xdr:oneCellAnchor>
    <xdr:from>
      <xdr:col>32</xdr:col>
      <xdr:colOff>172085</xdr:colOff>
      <xdr:row>205</xdr:row>
      <xdr:rowOff>88900</xdr:rowOff>
    </xdr:from>
    <xdr:ext cx="712568" cy="259080"/>
    <xdr:pic>
      <xdr:nvPicPr>
        <xdr:cNvPr id="11" name="Picture 10">
          <a:extLst>
            <a:ext uri="{FF2B5EF4-FFF2-40B4-BE49-F238E27FC236}">
              <a16:creationId xmlns:a16="http://schemas.microsoft.com/office/drawing/2014/main" id="{47E936E0-CA83-4092-8530-EE76ED0C4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2985" y="336550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132080</xdr:colOff>
          <xdr:row>5</xdr:row>
          <xdr:rowOff>0</xdr:rowOff>
        </xdr:to>
        <xdr:pic>
          <xdr:nvPicPr>
            <xdr:cNvPr id="14" name="Picture 13">
              <a:extLst>
                <a:ext uri="{FF2B5EF4-FFF2-40B4-BE49-F238E27FC236}">
                  <a16:creationId xmlns:a16="http://schemas.microsoft.com/office/drawing/2014/main" id="{74DB6ADB-A789-34D3-9A9D-2E2D2E478E8C}"/>
                </a:ext>
              </a:extLst>
            </xdr:cNvPr>
            <xdr:cNvPicPr>
              <a:picLocks noChangeAspect="1" noChangeArrowheads="1"/>
              <a:extLst>
                <a:ext uri="{84589F7E-364E-4C9E-8A38-B11213B215E9}">
                  <a14:cameraTool cellRange="Logo" spid="_x0000_s20184"/>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54</xdr:col>
          <xdr:colOff>95250</xdr:colOff>
          <xdr:row>5</xdr:row>
          <xdr:rowOff>0</xdr:rowOff>
        </xdr:to>
        <xdr:pic>
          <xdr:nvPicPr>
            <xdr:cNvPr id="16" name="Picture 15">
              <a:extLst>
                <a:ext uri="{FF2B5EF4-FFF2-40B4-BE49-F238E27FC236}">
                  <a16:creationId xmlns:a16="http://schemas.microsoft.com/office/drawing/2014/main" id="{BBF5BA17-857B-88A1-E203-0B6C4FE0F079}"/>
                </a:ext>
              </a:extLst>
            </xdr:cNvPr>
            <xdr:cNvPicPr>
              <a:picLocks noChangeAspect="1" noChangeArrowheads="1"/>
              <a:extLst>
                <a:ext uri="{84589F7E-364E-4C9E-8A38-B11213B215E9}">
                  <a14:cameraTool cellRange="Logo" spid="_x0000_s20185"/>
                </a:ext>
              </a:extLst>
            </xdr:cNvPicPr>
          </xdr:nvPicPr>
          <xdr:blipFill>
            <a:blip xmlns:r="http://schemas.openxmlformats.org/officeDocument/2006/relationships" r:embed="rId2"/>
            <a:srcRect/>
            <a:stretch>
              <a:fillRect/>
            </a:stretch>
          </xdr:blipFill>
          <xdr:spPr bwMode="auto">
            <a:xfrm>
              <a:off x="729615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33</xdr:col>
      <xdr:colOff>142240</xdr:colOff>
      <xdr:row>248</xdr:row>
      <xdr:rowOff>91440</xdr:rowOff>
    </xdr:from>
    <xdr:ext cx="712568" cy="259080"/>
    <xdr:pic>
      <xdr:nvPicPr>
        <xdr:cNvPr id="2" name="Picture 1">
          <a:extLst>
            <a:ext uri="{FF2B5EF4-FFF2-40B4-BE49-F238E27FC236}">
              <a16:creationId xmlns:a16="http://schemas.microsoft.com/office/drawing/2014/main" id="{DDB0B95C-2720-4128-8464-1C443C9CA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5385" y="3388360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autoFilter ref="H1:H5"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 displayName="T_Resp" ref="J1:J21" totalsRowShown="0">
  <autoFilter ref="J1:J21"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259191-FA68-469B-9C44-DAD58569197C}" name="OP" displayName="OP" ref="H8:H14" totalsRowShown="0" headerRowDxfId="425" dataDxfId="424">
  <autoFilter ref="H8:H14" xr:uid="{EE259191-FA68-469B-9C44-DAD58569197C}"/>
  <tableColumns count="1">
    <tableColumn id="1" xr3:uid="{AC426317-999C-4254-A0B5-A017CDD6059C}" name="Outlet Protection" dataDxfId="4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0F46C5-C3D8-44D0-9657-FDDB5D08EB38}" name="Table810" displayName="Table810" ref="B11:B14" totalsRowShown="0" headerRowDxfId="422" dataDxfId="421">
  <autoFilter ref="B11:B14" xr:uid="{D20F46C5-C3D8-44D0-9657-FDDB5D08EB38}"/>
  <tableColumns count="1">
    <tableColumn id="1" xr3:uid="{ED2C022C-C943-4945-9D5E-BBFACAEE998C}" name="Acceptance Table" dataDxfId="4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692512-4694-4490-80FE-D519E1ADFACB}" name="Storms" displayName="Storms" ref="K26:L32" totalsRowShown="0" headerRowDxfId="419">
  <autoFilter ref="K26:L32" xr:uid="{B5692512-4694-4490-80FE-D519E1ADFACB}"/>
  <tableColumns count="2">
    <tableColumn id="1" xr3:uid="{964C29F3-8549-471C-81ED-68298C855929}" name="Known or Adj Storm" dataDxfId="418"/>
    <tableColumn id="2" xr3:uid="{37961061-1102-4B88-B1DA-04BDA95C946E}" name="Requirements" dataDxfId="41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BC48DA0-0C64-488C-B1C6-4A6B2F46FFA3}" name="Table8" displayName="Table8" ref="L35:L37" totalsRowShown="0" headerRowDxfId="416" dataDxfId="415">
  <autoFilter ref="L35:L37" xr:uid="{8BC48DA0-0C64-488C-B1C6-4A6B2F46FFA3}"/>
  <tableColumns count="1">
    <tableColumn id="1" xr3:uid="{B016BA41-CA1F-42B0-B83F-CDA23B9669BE}" name="Question" dataDxfId="4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S45"/>
  <sheetViews>
    <sheetView showGridLines="0" zoomScaleNormal="100" workbookViewId="0">
      <selection activeCell="F14" sqref="F14"/>
    </sheetView>
  </sheetViews>
  <sheetFormatPr defaultRowHeight="14.4" x14ac:dyDescent="0.3"/>
  <cols>
    <col min="1" max="1" width="28.44140625" bestFit="1" customWidth="1"/>
    <col min="2" max="2" width="23.21875" bestFit="1" customWidth="1"/>
    <col min="4" max="4" width="26.33203125" bestFit="1" customWidth="1"/>
    <col min="5" max="5" width="3.77734375" customWidth="1"/>
    <col min="6" max="6" width="20.77734375" customWidth="1"/>
    <col min="7" max="7" width="4.5546875" bestFit="1" customWidth="1"/>
    <col min="8" max="8" width="26" bestFit="1" customWidth="1"/>
    <col min="9" max="9" width="3.77734375" customWidth="1"/>
    <col min="10" max="10" width="72.6640625" bestFit="1" customWidth="1"/>
    <col min="11" max="11" width="20" customWidth="1"/>
    <col min="12" max="12" width="23.33203125" bestFit="1" customWidth="1"/>
    <col min="13" max="13" width="23.33203125" customWidth="1"/>
    <col min="14" max="15" width="20.44140625" bestFit="1" customWidth="1"/>
    <col min="16" max="16" width="25" bestFit="1" customWidth="1"/>
    <col min="17" max="18" width="20.44140625" bestFit="1" customWidth="1"/>
  </cols>
  <sheetData>
    <row r="1" spans="1:18" x14ac:dyDescent="0.3">
      <c r="A1" s="172" t="s">
        <v>527</v>
      </c>
      <c r="B1" s="173"/>
      <c r="D1" t="s">
        <v>21</v>
      </c>
      <c r="F1" t="s">
        <v>31</v>
      </c>
      <c r="H1" t="s">
        <v>62</v>
      </c>
      <c r="J1" t="s">
        <v>80</v>
      </c>
      <c r="K1">
        <v>1</v>
      </c>
      <c r="L1" s="161" t="s">
        <v>292</v>
      </c>
      <c r="M1" s="161" t="s">
        <v>538</v>
      </c>
      <c r="N1" s="161" t="s">
        <v>149</v>
      </c>
      <c r="O1" s="161" t="s">
        <v>252</v>
      </c>
      <c r="P1" s="161" t="s">
        <v>151</v>
      </c>
      <c r="Q1" s="161" t="s">
        <v>148</v>
      </c>
      <c r="R1" s="161" t="s">
        <v>150</v>
      </c>
    </row>
    <row r="2" spans="1:18" x14ac:dyDescent="0.3">
      <c r="A2" s="152" t="s">
        <v>528</v>
      </c>
      <c r="B2" s="153">
        <f>EDATE(F$13,B3)</f>
        <v>46296</v>
      </c>
      <c r="D2" t="s">
        <v>22</v>
      </c>
      <c r="F2" t="s">
        <v>344</v>
      </c>
      <c r="H2" t="s">
        <v>176</v>
      </c>
      <c r="J2" t="s">
        <v>82</v>
      </c>
      <c r="K2">
        <f>K1+1</f>
        <v>2</v>
      </c>
      <c r="L2" s="87" t="s">
        <v>5</v>
      </c>
      <c r="M2" s="131">
        <v>1</v>
      </c>
      <c r="N2" s="130">
        <v>1.1000000000000001</v>
      </c>
      <c r="O2" s="130">
        <v>1.1000000000000001</v>
      </c>
      <c r="P2" s="130">
        <v>1.2</v>
      </c>
      <c r="Q2" s="130">
        <v>1.1000000000000001</v>
      </c>
      <c r="R2" s="131">
        <v>1.1000000000000001</v>
      </c>
    </row>
    <row r="3" spans="1:18" x14ac:dyDescent="0.3">
      <c r="A3" s="154" t="s">
        <v>529</v>
      </c>
      <c r="B3" s="155">
        <v>12</v>
      </c>
      <c r="D3" t="s">
        <v>70</v>
      </c>
      <c r="F3" t="s">
        <v>345</v>
      </c>
      <c r="H3" t="s">
        <v>177</v>
      </c>
      <c r="J3" t="s">
        <v>75</v>
      </c>
      <c r="K3">
        <f t="shared" ref="K3:K23" si="0">K2+1</f>
        <v>3</v>
      </c>
      <c r="L3" s="87" t="s">
        <v>6</v>
      </c>
      <c r="M3" s="131">
        <v>6.02</v>
      </c>
      <c r="N3" s="130">
        <v>4.1100000000000003</v>
      </c>
      <c r="O3" s="130">
        <v>4.1399999999999997</v>
      </c>
      <c r="P3" s="130">
        <v>5.7</v>
      </c>
      <c r="Q3" s="130">
        <v>4.24</v>
      </c>
      <c r="R3" s="131">
        <v>4.21</v>
      </c>
    </row>
    <row r="4" spans="1:18" x14ac:dyDescent="0.3">
      <c r="A4" s="154" t="s">
        <v>530</v>
      </c>
      <c r="B4" s="156"/>
      <c r="D4" t="s">
        <v>71</v>
      </c>
      <c r="F4" t="s">
        <v>166</v>
      </c>
      <c r="H4" t="s">
        <v>303</v>
      </c>
      <c r="J4" t="s">
        <v>81</v>
      </c>
      <c r="K4">
        <f t="shared" si="0"/>
        <v>4</v>
      </c>
      <c r="L4" s="87" t="s">
        <v>7</v>
      </c>
      <c r="M4" s="131">
        <v>7.68</v>
      </c>
      <c r="N4" s="130">
        <v>5.01</v>
      </c>
      <c r="O4" s="130">
        <v>5.0599999999999996</v>
      </c>
      <c r="P4" s="130">
        <v>7.21</v>
      </c>
      <c r="Q4" s="130">
        <v>5.3</v>
      </c>
      <c r="R4" s="131">
        <v>5.24</v>
      </c>
    </row>
    <row r="5" spans="1:18" x14ac:dyDescent="0.3">
      <c r="A5" s="154" t="s">
        <v>531</v>
      </c>
      <c r="B5" s="155" t="s">
        <v>558</v>
      </c>
      <c r="D5" t="s">
        <v>26</v>
      </c>
      <c r="F5" t="s">
        <v>165</v>
      </c>
      <c r="H5" t="s">
        <v>286</v>
      </c>
      <c r="J5" t="s">
        <v>72</v>
      </c>
      <c r="K5">
        <f t="shared" si="0"/>
        <v>5</v>
      </c>
      <c r="L5" s="87" t="s">
        <v>8</v>
      </c>
      <c r="M5" s="131">
        <v>9.26</v>
      </c>
      <c r="N5" s="130">
        <v>5.87</v>
      </c>
      <c r="O5" s="130">
        <v>5.91</v>
      </c>
      <c r="P5" s="130">
        <v>8.6300000000000008</v>
      </c>
      <c r="Q5" s="130">
        <v>6.24</v>
      </c>
      <c r="R5" s="131">
        <v>6.17</v>
      </c>
    </row>
    <row r="6" spans="1:18" x14ac:dyDescent="0.3">
      <c r="A6" s="154" t="s">
        <v>532</v>
      </c>
      <c r="B6" s="157">
        <f>IF(ISBLANK($B$4),$B$2,$B$4)</f>
        <v>46296</v>
      </c>
      <c r="D6" t="s">
        <v>24</v>
      </c>
      <c r="F6" t="s">
        <v>168</v>
      </c>
      <c r="J6" t="str">
        <f>"Emergency Spillway Velocity &gt; "&amp;$F$26&amp;" ft/s"</f>
        <v>Emergency Spillway Velocity &gt; 6 ft/s</v>
      </c>
      <c r="K6">
        <f t="shared" si="0"/>
        <v>6</v>
      </c>
      <c r="L6" s="87" t="s">
        <v>9</v>
      </c>
      <c r="M6" s="131">
        <v>11.7</v>
      </c>
      <c r="N6" s="130">
        <v>7.21</v>
      </c>
      <c r="O6" s="130">
        <v>7.26</v>
      </c>
      <c r="P6" s="130">
        <v>10.8</v>
      </c>
      <c r="Q6" s="130">
        <v>7.64</v>
      </c>
      <c r="R6" s="131">
        <v>7.55</v>
      </c>
    </row>
    <row r="7" spans="1:18" x14ac:dyDescent="0.3">
      <c r="A7" s="154" t="s">
        <v>533</v>
      </c>
      <c r="B7" s="158" t="b">
        <f>IF(License!$F$2="I ACCEPT",TRUE,FALSE)</f>
        <v>0</v>
      </c>
      <c r="D7" t="s">
        <v>23</v>
      </c>
      <c r="F7" t="s">
        <v>167</v>
      </c>
      <c r="J7" t="s">
        <v>517</v>
      </c>
      <c r="K7">
        <f t="shared" si="0"/>
        <v>7</v>
      </c>
      <c r="L7" s="87" t="s">
        <v>346</v>
      </c>
      <c r="M7" s="131">
        <v>13.9</v>
      </c>
      <c r="N7" s="130">
        <v>8.3699999999999992</v>
      </c>
      <c r="O7" s="130">
        <v>8.48</v>
      </c>
      <c r="P7" s="130">
        <v>12.7</v>
      </c>
      <c r="Q7" s="130">
        <v>8.8000000000000007</v>
      </c>
      <c r="R7" s="131">
        <v>8.6999999999999993</v>
      </c>
    </row>
    <row r="8" spans="1:18" x14ac:dyDescent="0.3">
      <c r="A8" s="159" t="s">
        <v>534</v>
      </c>
      <c r="B8" s="160" t="b">
        <f ca="1">OR(License!$F$4=B5, AND(B7=TRUE, NOW()&lt;B6))</f>
        <v>0</v>
      </c>
      <c r="D8" t="s">
        <v>28</v>
      </c>
      <c r="F8" t="s">
        <v>424</v>
      </c>
      <c r="H8" s="27" t="s">
        <v>502</v>
      </c>
      <c r="J8" t="s">
        <v>108</v>
      </c>
      <c r="K8">
        <f t="shared" si="0"/>
        <v>8</v>
      </c>
      <c r="L8" s="87" t="s">
        <v>10</v>
      </c>
      <c r="M8" s="131">
        <v>16.3</v>
      </c>
      <c r="N8" s="130">
        <v>9.65</v>
      </c>
      <c r="O8" s="130">
        <v>9.83</v>
      </c>
      <c r="P8" s="130">
        <v>14.8</v>
      </c>
      <c r="Q8" s="130">
        <v>10</v>
      </c>
      <c r="R8" s="131">
        <v>9.93</v>
      </c>
    </row>
    <row r="9" spans="1:18" ht="15.6" x14ac:dyDescent="0.35">
      <c r="A9" s="27"/>
      <c r="B9" s="27"/>
      <c r="D9" t="s">
        <v>25</v>
      </c>
      <c r="F9" t="s">
        <v>294</v>
      </c>
      <c r="H9" s="27" t="s">
        <v>503</v>
      </c>
      <c r="J9" t="s">
        <v>142</v>
      </c>
      <c r="K9">
        <f t="shared" si="0"/>
        <v>9</v>
      </c>
      <c r="L9" s="87" t="s">
        <v>255</v>
      </c>
      <c r="M9" s="162">
        <v>40574</v>
      </c>
      <c r="N9" s="132" t="s">
        <v>256</v>
      </c>
      <c r="O9" s="132" t="s">
        <v>257</v>
      </c>
      <c r="P9" s="132" t="s">
        <v>258</v>
      </c>
      <c r="Q9" s="132" t="s">
        <v>258</v>
      </c>
      <c r="R9" s="132" t="s">
        <v>259</v>
      </c>
    </row>
    <row r="10" spans="1:18" x14ac:dyDescent="0.3">
      <c r="A10" s="27"/>
      <c r="B10" s="27"/>
      <c r="D10" t="s">
        <v>69</v>
      </c>
      <c r="F10" t="s">
        <v>28</v>
      </c>
      <c r="H10" s="27" t="s">
        <v>504</v>
      </c>
      <c r="J10" t="s">
        <v>397</v>
      </c>
      <c r="K10">
        <f t="shared" si="0"/>
        <v>10</v>
      </c>
      <c r="L10" s="87" t="s">
        <v>260</v>
      </c>
      <c r="M10" s="141" t="s">
        <v>262</v>
      </c>
      <c r="N10" s="89" t="s">
        <v>261</v>
      </c>
      <c r="O10" s="89" t="s">
        <v>262</v>
      </c>
      <c r="P10" s="89" t="s">
        <v>261</v>
      </c>
      <c r="Q10" s="89" t="s">
        <v>261</v>
      </c>
      <c r="R10" s="89" t="s">
        <v>261</v>
      </c>
    </row>
    <row r="11" spans="1:18" ht="16.2" x14ac:dyDescent="0.3">
      <c r="A11" s="27"/>
      <c r="B11" s="27" t="s">
        <v>535</v>
      </c>
      <c r="H11" s="27" t="s">
        <v>505</v>
      </c>
      <c r="J11" t="s">
        <v>350</v>
      </c>
      <c r="K11">
        <f t="shared" si="0"/>
        <v>11</v>
      </c>
      <c r="L11" s="87" t="s">
        <v>263</v>
      </c>
      <c r="M11" s="141" t="s">
        <v>566</v>
      </c>
      <c r="N11" s="89" t="s">
        <v>264</v>
      </c>
      <c r="O11" s="89" t="s">
        <v>114</v>
      </c>
      <c r="P11" s="89" t="s">
        <v>114</v>
      </c>
      <c r="Q11" s="89" t="s">
        <v>114</v>
      </c>
      <c r="R11" s="89" t="s">
        <v>114</v>
      </c>
    </row>
    <row r="12" spans="1:18" x14ac:dyDescent="0.3">
      <c r="A12" s="27"/>
      <c r="B12" s="27" t="s">
        <v>522</v>
      </c>
      <c r="H12" s="27" t="s">
        <v>506</v>
      </c>
      <c r="J12" t="str">
        <f>F25&amp;" has not been provided"</f>
        <v>0 has not been provided</v>
      </c>
      <c r="K12">
        <f t="shared" si="0"/>
        <v>12</v>
      </c>
      <c r="L12" s="87" t="s">
        <v>290</v>
      </c>
      <c r="M12" s="141"/>
      <c r="N12" s="89"/>
      <c r="O12" s="89"/>
      <c r="P12" s="89" t="s">
        <v>293</v>
      </c>
      <c r="Q12" s="89" t="s">
        <v>326</v>
      </c>
      <c r="R12" s="89"/>
    </row>
    <row r="13" spans="1:18" x14ac:dyDescent="0.3">
      <c r="A13" s="27"/>
      <c r="B13" s="27" t="s">
        <v>536</v>
      </c>
      <c r="D13" s="87" t="s">
        <v>250</v>
      </c>
      <c r="F13" s="135">
        <v>45931</v>
      </c>
      <c r="H13" s="27" t="s">
        <v>507</v>
      </c>
      <c r="J13" t="s">
        <v>298</v>
      </c>
      <c r="K13">
        <f t="shared" si="0"/>
        <v>13</v>
      </c>
      <c r="L13" s="87" t="s">
        <v>291</v>
      </c>
      <c r="M13" s="141">
        <v>6</v>
      </c>
      <c r="N13" s="89">
        <v>5</v>
      </c>
      <c r="O13" s="89">
        <v>5</v>
      </c>
      <c r="P13" s="89">
        <v>5</v>
      </c>
      <c r="Q13" s="89">
        <v>6</v>
      </c>
      <c r="R13" s="89">
        <v>6</v>
      </c>
    </row>
    <row r="14" spans="1:18" x14ac:dyDescent="0.3">
      <c r="A14" s="27"/>
      <c r="B14" s="27" t="s">
        <v>537</v>
      </c>
      <c r="D14" s="91" t="s">
        <v>152</v>
      </c>
      <c r="F14" s="136" t="s">
        <v>538</v>
      </c>
      <c r="H14" s="27" t="s">
        <v>28</v>
      </c>
      <c r="J14" t="s">
        <v>455</v>
      </c>
      <c r="K14">
        <f t="shared" si="0"/>
        <v>14</v>
      </c>
      <c r="L14" s="87" t="s">
        <v>333</v>
      </c>
      <c r="M14" s="163" t="s">
        <v>396</v>
      </c>
      <c r="N14" s="133"/>
      <c r="O14" s="133"/>
      <c r="P14" s="134" t="s">
        <v>396</v>
      </c>
      <c r="Q14" s="134" t="s">
        <v>334</v>
      </c>
      <c r="R14" s="134" t="s">
        <v>335</v>
      </c>
    </row>
    <row r="15" spans="1:18" x14ac:dyDescent="0.3">
      <c r="D15" s="87" t="s">
        <v>5</v>
      </c>
      <c r="F15" s="130">
        <f>HLOOKUP($F$14,$M$1:$R$23,2)</f>
        <v>1</v>
      </c>
      <c r="G15" s="89" t="str">
        <f>TEXT(F15,"0.00")</f>
        <v>1.00</v>
      </c>
      <c r="J15" t="str">
        <f>"Known flooding:  "&amp;'Form 2C.1 - Design'!AS177&amp;"-yr discharge &gt; "&amp;'Form 2C.1 - Design'!AR177&amp;"-yr discharge"</f>
        <v>Known flooding:  2, 5, 10, 25, 50, and 100-yr discharge &gt; 2, 5, 10, 25, 50, and 100-yr discharge</v>
      </c>
      <c r="K15">
        <f t="shared" si="0"/>
        <v>15</v>
      </c>
      <c r="L15" s="87" t="s">
        <v>348</v>
      </c>
      <c r="M15" s="141" t="s">
        <v>349</v>
      </c>
      <c r="N15" s="89" t="s">
        <v>349</v>
      </c>
      <c r="O15" s="89" t="s">
        <v>349</v>
      </c>
      <c r="P15" s="89" t="s">
        <v>349</v>
      </c>
      <c r="Q15" s="89" t="s">
        <v>349</v>
      </c>
      <c r="R15" s="89" t="s">
        <v>349</v>
      </c>
    </row>
    <row r="16" spans="1:18" x14ac:dyDescent="0.3">
      <c r="D16" s="87" t="s">
        <v>6</v>
      </c>
      <c r="F16" s="130">
        <f>HLOOKUP($F$14,$M$1:$R$23,3)</f>
        <v>6.02</v>
      </c>
      <c r="J16" t="str">
        <f>"Drains to adjacent property:  "&amp;'Form 2C.1 - Design'!AS177&amp;"-yr discharge &gt; "&amp;'Form 2C.1 - Design'!AR177&amp;"-yr discharge"</f>
        <v>Drains to adjacent property:  2, 5, 10, 25, 50, and 100-yr discharge &gt; 2, 5, 10, 25, 50, and 100-yr discharge</v>
      </c>
      <c r="K16">
        <f t="shared" si="0"/>
        <v>16</v>
      </c>
      <c r="L16" s="87" t="s">
        <v>422</v>
      </c>
      <c r="M16" s="141">
        <v>6</v>
      </c>
      <c r="N16" s="89">
        <v>6</v>
      </c>
      <c r="O16" s="89">
        <v>6</v>
      </c>
      <c r="P16" s="89">
        <v>6</v>
      </c>
      <c r="Q16" s="89">
        <v>6</v>
      </c>
      <c r="R16" s="89">
        <v>6</v>
      </c>
    </row>
    <row r="17" spans="4:19" x14ac:dyDescent="0.3">
      <c r="D17" s="87" t="s">
        <v>7</v>
      </c>
      <c r="F17" s="130">
        <f>HLOOKUP($F$14,$M$1:$R$23,4)</f>
        <v>7.68</v>
      </c>
      <c r="G17" s="90"/>
      <c r="J17" t="s">
        <v>417</v>
      </c>
      <c r="K17">
        <f t="shared" si="0"/>
        <v>17</v>
      </c>
      <c r="L17" s="87" t="s">
        <v>423</v>
      </c>
      <c r="M17" s="141" t="s">
        <v>137</v>
      </c>
      <c r="N17" s="141" t="s">
        <v>137</v>
      </c>
      <c r="O17" s="141" t="s">
        <v>137</v>
      </c>
      <c r="P17" s="141" t="s">
        <v>137</v>
      </c>
      <c r="Q17" s="141" t="s">
        <v>155</v>
      </c>
      <c r="R17" s="141" t="s">
        <v>137</v>
      </c>
    </row>
    <row r="18" spans="4:19" x14ac:dyDescent="0.3">
      <c r="D18" s="87" t="s">
        <v>8</v>
      </c>
      <c r="F18" s="130">
        <f>HLOOKUP($F$14,$M$1:$R$23,5)</f>
        <v>9.26</v>
      </c>
      <c r="J18" t="str">
        <f>"Outlet Control Structure Velocity &gt; "&amp;$F$26&amp;" ft/s"</f>
        <v>Outlet Control Structure Velocity &gt; 6 ft/s</v>
      </c>
      <c r="K18">
        <f t="shared" si="0"/>
        <v>18</v>
      </c>
      <c r="L18" s="87" t="s">
        <v>430</v>
      </c>
      <c r="M18" s="141">
        <v>2</v>
      </c>
      <c r="N18" s="141">
        <v>2</v>
      </c>
      <c r="O18" s="141">
        <v>2</v>
      </c>
      <c r="P18" s="141">
        <v>2</v>
      </c>
      <c r="Q18" s="141">
        <v>25</v>
      </c>
      <c r="R18" s="141">
        <v>25</v>
      </c>
    </row>
    <row r="19" spans="4:19" x14ac:dyDescent="0.3">
      <c r="D19" s="87" t="s">
        <v>9</v>
      </c>
      <c r="F19" s="130">
        <f>HLOOKUP($F$14,$M$1:$R$23,6)</f>
        <v>11.7</v>
      </c>
      <c r="J19" t="s">
        <v>476</v>
      </c>
      <c r="K19" s="27">
        <f t="shared" si="0"/>
        <v>19</v>
      </c>
      <c r="L19" s="87" t="s">
        <v>489</v>
      </c>
      <c r="M19" s="141" t="str">
        <f t="shared" ref="M19" si="1">VLOOKUP(M18,$K$27:$L$32,2)</f>
        <v>2, 5, 10, 25, 50, and 100</v>
      </c>
      <c r="N19" s="141" t="str">
        <f>VLOOKUP(N18,$K$27:$L$32,2)</f>
        <v>2, 5, 10, 25, 50, and 100</v>
      </c>
      <c r="O19" s="141" t="str">
        <f>VLOOKUP(O18,$K$27:$L$32,2)</f>
        <v>2, 5, 10, 25, 50, and 100</v>
      </c>
      <c r="P19" s="141" t="str">
        <f t="shared" ref="P19:R19" si="2">VLOOKUP(P18,$K$27:$L$32,2)</f>
        <v>2, 5, 10, 25, 50, and 100</v>
      </c>
      <c r="Q19" s="141" t="str">
        <f t="shared" si="2"/>
        <v>25, 50, and 100</v>
      </c>
      <c r="R19" s="141" t="str">
        <f t="shared" si="2"/>
        <v>25, 50, and 100</v>
      </c>
      <c r="S19" s="27"/>
    </row>
    <row r="20" spans="4:19" x14ac:dyDescent="0.3">
      <c r="D20" s="87" t="s">
        <v>346</v>
      </c>
      <c r="F20" s="130">
        <f>HLOOKUP($F$14,$M$1:$R$23,7)</f>
        <v>13.9</v>
      </c>
      <c r="J20" s="27" t="s">
        <v>498</v>
      </c>
      <c r="K20" s="27">
        <f t="shared" si="0"/>
        <v>20</v>
      </c>
      <c r="L20" s="87" t="s">
        <v>431</v>
      </c>
      <c r="M20" s="141" t="s">
        <v>137</v>
      </c>
      <c r="N20" s="141" t="s">
        <v>155</v>
      </c>
      <c r="O20" s="141" t="s">
        <v>155</v>
      </c>
      <c r="P20" s="141" t="s">
        <v>155</v>
      </c>
      <c r="Q20" s="141" t="s">
        <v>155</v>
      </c>
      <c r="R20" s="141" t="s">
        <v>155</v>
      </c>
      <c r="S20" s="27"/>
    </row>
    <row r="21" spans="4:19" x14ac:dyDescent="0.3">
      <c r="D21" s="87" t="s">
        <v>10</v>
      </c>
      <c r="F21" s="130">
        <f>HLOOKUP($F$14,$M$1:$R$23,8)</f>
        <v>16.3</v>
      </c>
      <c r="J21" s="27" t="s">
        <v>499</v>
      </c>
      <c r="K21" s="27">
        <f t="shared" si="0"/>
        <v>21</v>
      </c>
      <c r="L21" s="87" t="s">
        <v>432</v>
      </c>
      <c r="M21" s="141">
        <v>2</v>
      </c>
      <c r="N21" s="141">
        <v>2</v>
      </c>
      <c r="O21" s="141">
        <v>2</v>
      </c>
      <c r="P21" s="141">
        <v>2</v>
      </c>
      <c r="Q21" s="141">
        <v>25</v>
      </c>
      <c r="R21" s="141">
        <v>25</v>
      </c>
      <c r="S21" s="27"/>
    </row>
    <row r="22" spans="4:19" x14ac:dyDescent="0.3">
      <c r="D22" s="87" t="s">
        <v>255</v>
      </c>
      <c r="F22" s="137">
        <f>HLOOKUP($F$14,$M$1:$R$23,9)</f>
        <v>40574</v>
      </c>
      <c r="K22" s="27">
        <f t="shared" si="0"/>
        <v>22</v>
      </c>
      <c r="L22" s="87" t="s">
        <v>490</v>
      </c>
      <c r="M22" s="141" t="str">
        <f t="shared" ref="M22" si="3">VLOOKUP(M21,$K$27:$L$32,2)</f>
        <v>2, 5, 10, 25, 50, and 100</v>
      </c>
      <c r="N22" s="141" t="str">
        <f>VLOOKUP(N21,$K$27:$L$32,2)</f>
        <v>2, 5, 10, 25, 50, and 100</v>
      </c>
      <c r="O22" s="141" t="str">
        <f>VLOOKUP(O21,$K$27:$L$32,2)</f>
        <v>2, 5, 10, 25, 50, and 100</v>
      </c>
      <c r="P22" s="141" t="str">
        <f t="shared" ref="P22:R22" si="4">VLOOKUP(P21,$K$27:$L$32,2)</f>
        <v>2, 5, 10, 25, 50, and 100</v>
      </c>
      <c r="Q22" s="141" t="str">
        <f t="shared" si="4"/>
        <v>25, 50, and 100</v>
      </c>
      <c r="R22" s="141" t="str">
        <f t="shared" si="4"/>
        <v>25, 50, and 100</v>
      </c>
      <c r="S22" s="27"/>
    </row>
    <row r="23" spans="4:19" x14ac:dyDescent="0.3">
      <c r="D23" s="87" t="s">
        <v>265</v>
      </c>
      <c r="F23" s="137" t="str">
        <f>HLOOKUP($F$14,$M$1:$R$23,10)</f>
        <v>County</v>
      </c>
      <c r="K23" s="27">
        <f t="shared" si="0"/>
        <v>23</v>
      </c>
      <c r="L23" s="87" t="s">
        <v>488</v>
      </c>
      <c r="M23" s="141" t="s">
        <v>567</v>
      </c>
      <c r="N23" s="141" t="s">
        <v>568</v>
      </c>
      <c r="O23" s="141" t="s">
        <v>568</v>
      </c>
      <c r="P23" s="141" t="s">
        <v>568</v>
      </c>
      <c r="Q23" s="141" t="s">
        <v>569</v>
      </c>
      <c r="R23" s="141" t="s">
        <v>568</v>
      </c>
      <c r="S23" s="27"/>
    </row>
    <row r="24" spans="4:19" x14ac:dyDescent="0.3">
      <c r="D24" s="87" t="s">
        <v>263</v>
      </c>
      <c r="F24" s="137" t="str">
        <f>HLOOKUP($F$14,$M$1:$R$23,11)</f>
        <v xml:space="preserve"> O&amp;M Plan</v>
      </c>
      <c r="K24" s="27">
        <v>24</v>
      </c>
      <c r="L24" s="87" t="s">
        <v>552</v>
      </c>
      <c r="M24" s="141" t="s">
        <v>538</v>
      </c>
      <c r="N24" s="141" t="s">
        <v>553</v>
      </c>
      <c r="O24" s="141" t="s">
        <v>554</v>
      </c>
      <c r="P24" s="141" t="s">
        <v>555</v>
      </c>
      <c r="Q24" s="141" t="s">
        <v>556</v>
      </c>
      <c r="R24" s="141" t="s">
        <v>557</v>
      </c>
      <c r="S24" s="27"/>
    </row>
    <row r="25" spans="4:19" x14ac:dyDescent="0.3">
      <c r="D25" s="87" t="s">
        <v>290</v>
      </c>
      <c r="F25" s="130">
        <f>HLOOKUP($F$14,$M$1:$R$23,12)</f>
        <v>0</v>
      </c>
      <c r="K25" s="27"/>
      <c r="L25" s="27"/>
      <c r="M25" s="27"/>
      <c r="N25" s="27"/>
      <c r="O25" s="27"/>
      <c r="P25" s="27"/>
      <c r="Q25" s="27"/>
      <c r="R25" s="27"/>
      <c r="S25" s="27"/>
    </row>
    <row r="26" spans="4:19" x14ac:dyDescent="0.3">
      <c r="D26" s="87" t="s">
        <v>291</v>
      </c>
      <c r="F26" s="130">
        <f>HLOOKUP($F$14,$M$1:$R$23,13)</f>
        <v>6</v>
      </c>
      <c r="K26" s="141" t="s">
        <v>491</v>
      </c>
      <c r="L26" s="141" t="s">
        <v>492</v>
      </c>
      <c r="M26" s="141"/>
      <c r="O26" s="27"/>
      <c r="P26" s="27"/>
      <c r="Q26" s="27"/>
      <c r="R26" s="27"/>
      <c r="S26" s="27"/>
    </row>
    <row r="27" spans="4:19" x14ac:dyDescent="0.3">
      <c r="D27" s="87" t="s">
        <v>343</v>
      </c>
      <c r="F27" s="133" t="str">
        <f>HLOOKUP($F$14,$M$1:$R$23,14)</f>
        <v>31 December</v>
      </c>
      <c r="K27" s="27">
        <v>2</v>
      </c>
      <c r="L27" s="87" t="s">
        <v>349</v>
      </c>
      <c r="M27" s="87"/>
      <c r="O27" s="27"/>
      <c r="P27" s="27"/>
      <c r="Q27" s="27"/>
      <c r="R27" s="27"/>
      <c r="S27" s="27"/>
    </row>
    <row r="28" spans="4:19" x14ac:dyDescent="0.3">
      <c r="D28" s="87" t="s">
        <v>347</v>
      </c>
      <c r="F28" s="133" t="str">
        <f>HLOOKUP($F$14,$M$1:$R$23,15)</f>
        <v>2, 5, 10, 25, 50, and 100</v>
      </c>
      <c r="K28" s="27">
        <v>5</v>
      </c>
      <c r="L28" s="87" t="s">
        <v>494</v>
      </c>
      <c r="M28" s="87"/>
      <c r="O28" s="27"/>
      <c r="P28" s="27"/>
      <c r="Q28" s="27"/>
      <c r="R28" s="27"/>
      <c r="S28" s="27"/>
    </row>
    <row r="29" spans="4:19" x14ac:dyDescent="0.3">
      <c r="D29" s="87" t="s">
        <v>423</v>
      </c>
      <c r="E29" s="116"/>
      <c r="F29" s="133" t="str">
        <f>HLOOKUP($F$14,$M$1:$R$23,17)</f>
        <v>No</v>
      </c>
      <c r="K29" s="27">
        <v>10</v>
      </c>
      <c r="L29" s="87" t="s">
        <v>495</v>
      </c>
      <c r="M29" s="87"/>
      <c r="N29" s="27"/>
      <c r="O29" s="27"/>
      <c r="P29" s="27"/>
      <c r="Q29" s="27"/>
      <c r="R29" s="27"/>
      <c r="S29" s="27"/>
    </row>
    <row r="30" spans="4:19" x14ac:dyDescent="0.3">
      <c r="D30" s="87" t="s">
        <v>430</v>
      </c>
      <c r="E30" s="116"/>
      <c r="F30" s="116">
        <f>HLOOKUP($F$14,$M$1:$R$23,18)</f>
        <v>2</v>
      </c>
      <c r="K30" s="27">
        <v>25</v>
      </c>
      <c r="L30" s="87" t="s">
        <v>496</v>
      </c>
      <c r="M30" s="87"/>
      <c r="N30" s="27"/>
      <c r="O30" s="27"/>
      <c r="P30" s="27"/>
      <c r="Q30" s="27"/>
      <c r="R30" s="27"/>
      <c r="S30" s="27"/>
    </row>
    <row r="31" spans="4:19" x14ac:dyDescent="0.3">
      <c r="D31" s="87" t="s">
        <v>489</v>
      </c>
      <c r="E31" s="142"/>
      <c r="F31" s="142" t="str">
        <f>HLOOKUP($F$14,$M$1:$R$23,19)</f>
        <v>2, 5, 10, 25, 50, and 100</v>
      </c>
      <c r="K31" s="27">
        <v>50</v>
      </c>
      <c r="L31" s="87" t="s">
        <v>497</v>
      </c>
      <c r="M31" s="87"/>
      <c r="N31" s="27"/>
      <c r="O31" s="27"/>
      <c r="P31" s="27"/>
      <c r="Q31" s="27"/>
      <c r="R31" s="27"/>
      <c r="S31" s="27"/>
    </row>
    <row r="32" spans="4:19" x14ac:dyDescent="0.3">
      <c r="D32" s="87" t="s">
        <v>431</v>
      </c>
      <c r="E32" s="142"/>
      <c r="F32" s="143" t="str">
        <f>HLOOKUP($F$14,$M$1:$R$23,20)</f>
        <v>No</v>
      </c>
      <c r="K32" s="27">
        <v>100</v>
      </c>
      <c r="L32" s="87">
        <v>100</v>
      </c>
      <c r="M32" s="87"/>
      <c r="N32" s="27"/>
      <c r="O32" s="27"/>
      <c r="P32" s="27"/>
      <c r="Q32" s="27"/>
      <c r="R32" s="27"/>
      <c r="S32" s="27"/>
    </row>
    <row r="33" spans="4:19" x14ac:dyDescent="0.3">
      <c r="D33" s="87" t="s">
        <v>432</v>
      </c>
      <c r="E33" s="142"/>
      <c r="F33" s="142">
        <f>HLOOKUP($F$14,$M$1:$R$23,21)</f>
        <v>2</v>
      </c>
      <c r="K33" s="27"/>
      <c r="L33" s="27"/>
      <c r="M33" s="27"/>
      <c r="N33" s="27"/>
      <c r="O33" s="27"/>
      <c r="P33" s="27"/>
      <c r="Q33" s="27"/>
      <c r="R33" s="27"/>
      <c r="S33" s="27"/>
    </row>
    <row r="34" spans="4:19" x14ac:dyDescent="0.3">
      <c r="D34" s="87" t="s">
        <v>490</v>
      </c>
      <c r="E34" s="142"/>
      <c r="F34" s="142" t="str">
        <f>HLOOKUP($F$14,$M$1:$R$23,22)</f>
        <v>2, 5, 10, 25, 50, and 100</v>
      </c>
      <c r="K34" s="27"/>
      <c r="L34" s="27"/>
      <c r="M34" s="27"/>
      <c r="N34" s="27"/>
      <c r="O34" s="27"/>
      <c r="P34" s="27"/>
      <c r="Q34" s="27"/>
      <c r="R34" s="27"/>
      <c r="S34" s="27"/>
    </row>
    <row r="35" spans="4:19" x14ac:dyDescent="0.3">
      <c r="D35" s="87" t="s">
        <v>500</v>
      </c>
      <c r="E35" s="142"/>
      <c r="F35" s="142">
        <f>MIN(F30,F33)</f>
        <v>2</v>
      </c>
      <c r="K35" s="27"/>
      <c r="L35" s="141" t="s">
        <v>493</v>
      </c>
      <c r="M35" s="27"/>
      <c r="N35" s="27"/>
      <c r="O35" s="27"/>
      <c r="P35" s="27"/>
      <c r="Q35" s="27"/>
      <c r="R35" s="27"/>
      <c r="S35" s="27"/>
    </row>
    <row r="36" spans="4:19" x14ac:dyDescent="0.3">
      <c r="D36" s="87" t="s">
        <v>501</v>
      </c>
      <c r="E36" s="142"/>
      <c r="F36" s="141" t="str">
        <f>VLOOKUP(F35,$K$27:$L$32,2)</f>
        <v>2, 5, 10, 25, 50, and 100</v>
      </c>
      <c r="K36" s="27"/>
      <c r="L36" s="141" t="s">
        <v>155</v>
      </c>
      <c r="M36" s="27"/>
      <c r="N36" s="27"/>
      <c r="O36" s="27"/>
      <c r="P36" s="27"/>
      <c r="Q36" s="27"/>
      <c r="R36" s="27"/>
      <c r="S36" s="27"/>
    </row>
    <row r="37" spans="4:19" x14ac:dyDescent="0.3">
      <c r="D37" s="87" t="s">
        <v>488</v>
      </c>
      <c r="E37" s="142"/>
      <c r="F37" s="142" t="str">
        <f>HLOOKUP($F$14,$M$1:$R$23,23)</f>
        <v>Drainage Rights</v>
      </c>
      <c r="K37" s="27"/>
      <c r="L37" s="141" t="s">
        <v>137</v>
      </c>
      <c r="M37" s="27"/>
      <c r="N37" s="27"/>
      <c r="O37" s="27"/>
      <c r="P37" s="27"/>
      <c r="Q37" s="27"/>
      <c r="R37" s="27"/>
      <c r="S37" s="27"/>
    </row>
    <row r="38" spans="4:19" x14ac:dyDescent="0.3">
      <c r="D38" s="91" t="s">
        <v>552</v>
      </c>
      <c r="F38" s="116" t="str">
        <f>HLOOKUP($F$14,$M$1:$R$24,24)</f>
        <v>Baldwin County</v>
      </c>
    </row>
    <row r="39" spans="4:19" x14ac:dyDescent="0.3">
      <c r="H39" s="97" t="s">
        <v>284</v>
      </c>
    </row>
    <row r="40" spans="4:19" ht="64.95" customHeight="1" x14ac:dyDescent="0.3">
      <c r="D40" s="27"/>
      <c r="E40" s="164" t="s">
        <v>538</v>
      </c>
      <c r="F40" s="27"/>
    </row>
    <row r="41" spans="4:19" ht="64.95" customHeight="1" x14ac:dyDescent="0.3">
      <c r="E41" s="87" t="s">
        <v>149</v>
      </c>
    </row>
    <row r="42" spans="4:19" ht="64.95" customHeight="1" x14ac:dyDescent="0.3">
      <c r="E42" s="87" t="s">
        <v>252</v>
      </c>
    </row>
    <row r="43" spans="4:19" ht="64.95" customHeight="1" x14ac:dyDescent="0.3">
      <c r="E43" s="87" t="s">
        <v>151</v>
      </c>
    </row>
    <row r="44" spans="4:19" ht="64.95" customHeight="1" x14ac:dyDescent="0.3">
      <c r="E44" s="87" t="s">
        <v>148</v>
      </c>
    </row>
    <row r="45" spans="4:19" ht="64.95" customHeight="1" x14ac:dyDescent="0.3">
      <c r="E45" s="87" t="s">
        <v>150</v>
      </c>
    </row>
  </sheetData>
  <mergeCells count="1">
    <mergeCell ref="A1:B1"/>
  </mergeCells>
  <dataValidations count="3">
    <dataValidation type="list" allowBlank="1" showInputMessage="1" showErrorMessage="1" sqref="F14" xr:uid="{7F313BDA-AE88-459D-97D1-FCBB8B4F7AB6}">
      <formula1>$M$1:$R$1</formula1>
    </dataValidation>
    <dataValidation type="list" allowBlank="1" showInputMessage="1" showErrorMessage="1" sqref="M18:R18 M21:R21" xr:uid="{9EA6F4BF-A569-451C-877B-E095E9A255B6}">
      <formula1>$K$27:$K$32</formula1>
    </dataValidation>
    <dataValidation type="list" allowBlank="1" showInputMessage="1" showErrorMessage="1" sqref="M17:R17 M20:R20" xr:uid="{65449D7D-0539-47AB-9B18-661D21DDE752}">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T62"/>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x14ac:dyDescent="0.3"/>
  <cols>
    <col min="1" max="1" width="8.88671875" style="148" hidden="1" customWidth="1"/>
    <col min="2" max="2" width="4.77734375" style="15" customWidth="1"/>
    <col min="3" max="3" width="5.77734375" style="14" customWidth="1"/>
    <col min="4" max="4" width="24.77734375" style="15" customWidth="1"/>
    <col min="5" max="5" width="8.88671875" style="15" customWidth="1"/>
    <col min="6" max="6" width="20.77734375" style="15" customWidth="1"/>
    <col min="7" max="15" width="8.88671875" style="15" customWidth="1"/>
    <col min="16" max="16" width="8.88671875" customWidth="1"/>
    <col min="17" max="20" width="8.88671875" style="15" customWidth="1"/>
    <col min="21" max="16384" width="8.88671875" style="15" hidden="1"/>
  </cols>
  <sheetData>
    <row r="1" spans="1:17" ht="19.95" customHeight="1" x14ac:dyDescent="0.3">
      <c r="C1" s="54" t="s">
        <v>594</v>
      </c>
      <c r="N1" s="147" t="s">
        <v>520</v>
      </c>
      <c r="O1" s="174">
        <f>Tables!F13</f>
        <v>45931</v>
      </c>
      <c r="P1" s="174"/>
    </row>
    <row r="2" spans="1:17" ht="19.95" customHeight="1" x14ac:dyDescent="0.3">
      <c r="A2" s="149">
        <f>IF(OR(F2="I ACCEPT",F2="I DO NOT ACCEPT"),1,2)</f>
        <v>2</v>
      </c>
      <c r="E2" s="147" t="s">
        <v>521</v>
      </c>
      <c r="F2" s="165" t="s">
        <v>522</v>
      </c>
      <c r="N2" s="147" t="s">
        <v>523</v>
      </c>
      <c r="O2" s="174">
        <f>Tables!B6</f>
        <v>46296</v>
      </c>
      <c r="P2" s="174"/>
    </row>
    <row r="3" spans="1:17" ht="19.95" customHeight="1" x14ac:dyDescent="0.3">
      <c r="A3" s="149">
        <f ca="1">IF(F3="Workbook is Locked and Unavailable",2,1)</f>
        <v>2</v>
      </c>
      <c r="E3" s="147" t="s">
        <v>525</v>
      </c>
      <c r="F3" s="175" t="str">
        <f ca="1">IF(Tables!$B$8,"Workbook is Active","Workbook is Locked and Unavailable")</f>
        <v>Workbook is Locked and Unavailable</v>
      </c>
      <c r="G3" s="175"/>
      <c r="H3" s="175"/>
    </row>
    <row r="4" spans="1:17" ht="19.95" hidden="1" customHeight="1" x14ac:dyDescent="0.3">
      <c r="B4" s="148"/>
      <c r="C4" s="151"/>
      <c r="D4" s="148"/>
      <c r="E4" s="168" t="s">
        <v>526</v>
      </c>
      <c r="F4" s="169"/>
      <c r="G4" s="148"/>
      <c r="H4" s="148"/>
      <c r="I4" s="148"/>
      <c r="J4" s="148"/>
      <c r="K4" s="148"/>
      <c r="L4" s="148"/>
      <c r="M4" s="148"/>
      <c r="N4" s="148"/>
      <c r="O4" s="148"/>
      <c r="P4" s="148"/>
      <c r="Q4" s="148"/>
    </row>
    <row r="5" spans="1:17" ht="19.95" customHeight="1" x14ac:dyDescent="0.3">
      <c r="E5" s="147"/>
    </row>
    <row r="6" spans="1:17" ht="19.95" customHeight="1" x14ac:dyDescent="0.3">
      <c r="D6" s="166"/>
      <c r="E6" s="166" t="s">
        <v>524</v>
      </c>
      <c r="F6" s="15" t="s">
        <v>570</v>
      </c>
    </row>
    <row r="7" spans="1:17" ht="19.95" customHeight="1" x14ac:dyDescent="0.3">
      <c r="D7" s="166"/>
      <c r="E7" s="167"/>
      <c r="F7" s="15" t="str">
        <f>"By clicking I ACCEPT above, you represent that you are (a) preparing a post-construction submittal for "&amp;Tables!$F$38&amp;" and/or"</f>
        <v>By clicking I ACCEPT above, you represent that you are (a) preparing a post-construction submittal for Baldwin County and/or</v>
      </c>
    </row>
    <row r="8" spans="1:17" ht="19.95" customHeight="1" x14ac:dyDescent="0.3">
      <c r="D8" s="166"/>
      <c r="E8" s="167"/>
      <c r="F8" s="15" t="s">
        <v>595</v>
      </c>
    </row>
    <row r="9" spans="1:17" ht="19.95" customHeight="1" x14ac:dyDescent="0.3">
      <c r="D9" s="166"/>
      <c r="E9" s="167"/>
      <c r="F9" s="15" t="s">
        <v>571</v>
      </c>
    </row>
    <row r="10" spans="1:17" ht="19.95" customHeight="1" x14ac:dyDescent="0.3">
      <c r="D10" s="166"/>
      <c r="E10" s="167"/>
    </row>
    <row r="11" spans="1:17" ht="19.95" customHeight="1" x14ac:dyDescent="0.3">
      <c r="D11" s="166">
        <v>1</v>
      </c>
      <c r="E11" s="5" t="s">
        <v>572</v>
      </c>
    </row>
    <row r="12" spans="1:17" ht="19.95" customHeight="1" x14ac:dyDescent="0.3">
      <c r="A12" s="150"/>
      <c r="D12" s="166"/>
      <c r="E12" s="167"/>
      <c r="F12" s="15" t="s">
        <v>539</v>
      </c>
    </row>
    <row r="13" spans="1:17" ht="19.95" customHeight="1" x14ac:dyDescent="0.3">
      <c r="D13" s="166"/>
      <c r="E13" s="167"/>
      <c r="F13" s="15" t="str">
        <f>"and submit post-construction application materials to "&amp;Tables!$F$38&amp;" and for the User's internal recordkeeping for those"</f>
        <v>and submit post-construction application materials to Baldwin County and for the User's internal recordkeeping for those</v>
      </c>
    </row>
    <row r="14" spans="1:17" ht="19.95" customHeight="1" x14ac:dyDescent="0.3">
      <c r="D14" s="166"/>
      <c r="E14" s="167"/>
      <c r="F14" s="15" t="s">
        <v>540</v>
      </c>
    </row>
    <row r="15" spans="1:17" ht="19.95" customHeight="1" x14ac:dyDescent="0.3">
      <c r="D15" s="166"/>
      <c r="E15" s="167"/>
      <c r="F15" s="15" t="s">
        <v>573</v>
      </c>
    </row>
    <row r="16" spans="1:17" ht="19.95" customHeight="1" x14ac:dyDescent="0.3">
      <c r="D16" s="166">
        <v>2</v>
      </c>
      <c r="E16" s="5" t="s">
        <v>541</v>
      </c>
    </row>
    <row r="17" spans="4:6" ht="19.95" customHeight="1" x14ac:dyDescent="0.3">
      <c r="D17" s="166"/>
      <c r="E17" s="167"/>
      <c r="F17" s="15" t="s">
        <v>542</v>
      </c>
    </row>
    <row r="18" spans="4:6" ht="19.95" customHeight="1" x14ac:dyDescent="0.3">
      <c r="D18" s="166"/>
      <c r="E18" s="167"/>
      <c r="F18" s="15" t="s">
        <v>543</v>
      </c>
    </row>
    <row r="19" spans="4:6" ht="19.95" customHeight="1" x14ac:dyDescent="0.3">
      <c r="D19" s="166">
        <v>3</v>
      </c>
      <c r="E19" s="167" t="s">
        <v>544</v>
      </c>
    </row>
    <row r="20" spans="4:6" ht="19.95" customHeight="1" x14ac:dyDescent="0.3">
      <c r="D20" s="166"/>
      <c r="E20" s="167"/>
      <c r="F20" s="15" t="s">
        <v>559</v>
      </c>
    </row>
    <row r="21" spans="4:6" ht="19.95" customHeight="1" x14ac:dyDescent="0.3">
      <c r="D21" s="166"/>
      <c r="E21" s="167"/>
      <c r="F21" s="15" t="s">
        <v>574</v>
      </c>
    </row>
    <row r="22" spans="4:6" ht="19.95" customHeight="1" x14ac:dyDescent="0.3">
      <c r="D22" s="166"/>
      <c r="E22" s="167"/>
      <c r="F22" s="15" t="str">
        <f>"forms to the "&amp;Tables!$F$23&amp;" as intended.  The "&amp;Tables!$F$23&amp;" may host and distribute the unmodified Tool to prospective submitters for"</f>
        <v>forms to the County as intended.  The County may host and distribute the unmodified Tool to prospective submitters for</v>
      </c>
    </row>
    <row r="23" spans="4:6" ht="19.95" customHeight="1" x14ac:dyDescent="0.3">
      <c r="D23" s="166"/>
      <c r="E23" s="167"/>
      <c r="F23" s="15" t="s">
        <v>575</v>
      </c>
    </row>
    <row r="24" spans="4:6" ht="19.95" customHeight="1" x14ac:dyDescent="0.3">
      <c r="D24" s="166">
        <v>4</v>
      </c>
      <c r="E24" s="167" t="s">
        <v>545</v>
      </c>
    </row>
    <row r="25" spans="4:6" ht="19.95" customHeight="1" x14ac:dyDescent="0.3">
      <c r="D25" s="166"/>
      <c r="E25" s="167"/>
      <c r="F25" s="15" t="s">
        <v>560</v>
      </c>
    </row>
    <row r="26" spans="4:6" ht="19.95" customHeight="1" x14ac:dyDescent="0.3">
      <c r="D26" s="166"/>
      <c r="E26" s="167"/>
      <c r="F26" s="15" t="s">
        <v>576</v>
      </c>
    </row>
    <row r="27" spans="4:6" ht="19.95" customHeight="1" x14ac:dyDescent="0.3">
      <c r="D27" s="166"/>
      <c r="E27" s="167"/>
      <c r="F27" s="15" t="s">
        <v>577</v>
      </c>
    </row>
    <row r="28" spans="4:6" ht="19.95" customHeight="1" x14ac:dyDescent="0.3">
      <c r="D28" s="166">
        <v>5</v>
      </c>
      <c r="E28" s="167" t="s">
        <v>546</v>
      </c>
    </row>
    <row r="29" spans="4:6" ht="19.95" customHeight="1" x14ac:dyDescent="0.3">
      <c r="D29" s="166"/>
      <c r="E29" s="167"/>
      <c r="F29" s="15" t="str">
        <f>"Outputs and application materials generated with the Tool may be public records of "&amp;Tables!$F$38&amp;"; the Tool itself"</f>
        <v>Outputs and application materials generated with the Tool may be public records of Baldwin County; the Tool itself</v>
      </c>
    </row>
    <row r="30" spans="4:6" ht="19.95" customHeight="1" x14ac:dyDescent="0.3">
      <c r="D30" s="166"/>
      <c r="E30" s="167"/>
      <c r="F30" s="15" t="s">
        <v>578</v>
      </c>
    </row>
    <row r="31" spans="4:6" ht="19.95" customHeight="1" x14ac:dyDescent="0.3">
      <c r="D31" s="166">
        <v>6</v>
      </c>
      <c r="E31" s="167" t="s">
        <v>579</v>
      </c>
    </row>
    <row r="32" spans="4:6" ht="19.95" customHeight="1" x14ac:dyDescent="0.3">
      <c r="D32" s="166"/>
      <c r="E32" s="167"/>
      <c r="F32" s="15" t="str">
        <f>"The Tool is a convenience aid and does not constitute engineering, legal or compliance advice. The "&amp;Tables!$F$38&amp;"'s standards and"</f>
        <v>The Tool is a convenience aid and does not constitute engineering, legal or compliance advice. The Baldwin County's standards and</v>
      </c>
    </row>
    <row r="33" spans="4:6" ht="19.95" customHeight="1" x14ac:dyDescent="0.3">
      <c r="D33" s="166"/>
      <c r="E33" s="167"/>
      <c r="F33" s="15" t="s">
        <v>580</v>
      </c>
    </row>
    <row r="34" spans="4:6" ht="19.95" customHeight="1" x14ac:dyDescent="0.3">
      <c r="D34" s="166">
        <v>7</v>
      </c>
      <c r="E34" s="167" t="s">
        <v>547</v>
      </c>
    </row>
    <row r="35" spans="4:6" ht="19.95" customHeight="1" x14ac:dyDescent="0.3">
      <c r="D35" s="166"/>
      <c r="E35" s="167"/>
      <c r="F35" s="15" t="s">
        <v>581</v>
      </c>
    </row>
    <row r="36" spans="4:6" ht="19.95" customHeight="1" x14ac:dyDescent="0.3">
      <c r="D36" s="166"/>
      <c r="E36" s="167"/>
      <c r="F36" s="15" t="s">
        <v>582</v>
      </c>
    </row>
    <row r="37" spans="4:6" ht="19.95" customHeight="1" x14ac:dyDescent="0.3">
      <c r="D37" s="166"/>
      <c r="E37" s="167"/>
      <c r="F37" s="15" t="s">
        <v>561</v>
      </c>
    </row>
    <row r="38" spans="4:6" ht="19.95" customHeight="1" x14ac:dyDescent="0.3">
      <c r="D38" s="166">
        <v>8</v>
      </c>
      <c r="E38" s="167" t="s">
        <v>548</v>
      </c>
    </row>
    <row r="39" spans="4:6" ht="19.95" customHeight="1" x14ac:dyDescent="0.3">
      <c r="D39" s="166"/>
      <c r="E39" s="167"/>
      <c r="F39" s="15" t="s">
        <v>549</v>
      </c>
    </row>
    <row r="40" spans="4:6" ht="19.95" customHeight="1" x14ac:dyDescent="0.3">
      <c r="D40" s="166"/>
      <c r="E40" s="167"/>
      <c r="F40" s="15" t="s">
        <v>550</v>
      </c>
    </row>
    <row r="41" spans="4:6" ht="19.95" customHeight="1" x14ac:dyDescent="0.3">
      <c r="D41" s="166">
        <v>9</v>
      </c>
      <c r="E41" s="167" t="s">
        <v>583</v>
      </c>
    </row>
    <row r="42" spans="4:6" ht="19.95" customHeight="1" x14ac:dyDescent="0.3">
      <c r="D42" s="166"/>
      <c r="E42" s="167"/>
      <c r="F42" s="15" t="s">
        <v>584</v>
      </c>
    </row>
    <row r="43" spans="4:6" ht="19.95" customHeight="1" x14ac:dyDescent="0.3">
      <c r="D43" s="166">
        <v>10</v>
      </c>
      <c r="E43" s="167" t="s">
        <v>585</v>
      </c>
    </row>
    <row r="44" spans="4:6" ht="19.95" customHeight="1" x14ac:dyDescent="0.3">
      <c r="D44" s="166"/>
      <c r="E44" s="167"/>
      <c r="F44" s="15" t="s">
        <v>586</v>
      </c>
    </row>
    <row r="45" spans="4:6" ht="19.95" customHeight="1" x14ac:dyDescent="0.3">
      <c r="D45" s="166"/>
      <c r="E45" s="167"/>
      <c r="F45" s="15" t="s">
        <v>587</v>
      </c>
    </row>
    <row r="46" spans="4:6" ht="19.95" customHeight="1" x14ac:dyDescent="0.3">
      <c r="D46" s="166">
        <v>11</v>
      </c>
      <c r="E46" s="167" t="s">
        <v>588</v>
      </c>
    </row>
    <row r="47" spans="4:6" ht="19.95" customHeight="1" x14ac:dyDescent="0.3">
      <c r="D47" s="166"/>
      <c r="E47" s="167"/>
      <c r="F47" s="15" t="s">
        <v>589</v>
      </c>
    </row>
    <row r="48" spans="4:6" ht="19.95" customHeight="1" x14ac:dyDescent="0.3">
      <c r="D48" s="166"/>
      <c r="E48" s="167"/>
      <c r="F48" s="15" t="s">
        <v>590</v>
      </c>
    </row>
    <row r="49" spans="4:6" ht="19.95" customHeight="1" x14ac:dyDescent="0.3">
      <c r="D49" s="166"/>
      <c r="E49" s="167"/>
      <c r="F49" s="15" t="s">
        <v>591</v>
      </c>
    </row>
    <row r="50" spans="4:6" ht="19.95" customHeight="1" x14ac:dyDescent="0.3">
      <c r="D50" s="166"/>
      <c r="E50" s="167"/>
      <c r="F50" s="15" t="s">
        <v>592</v>
      </c>
    </row>
    <row r="51" spans="4:6" ht="19.95" customHeight="1" x14ac:dyDescent="0.3">
      <c r="D51" s="166">
        <v>12</v>
      </c>
      <c r="E51" s="167" t="s">
        <v>551</v>
      </c>
    </row>
    <row r="52" spans="4:6" ht="19.95" customHeight="1" x14ac:dyDescent="0.3">
      <c r="D52" s="166"/>
      <c r="E52" s="167"/>
      <c r="F52" s="15" t="s">
        <v>593</v>
      </c>
    </row>
    <row r="53" spans="4:6" ht="19.95" customHeight="1" x14ac:dyDescent="0.3">
      <c r="D53" s="166"/>
      <c r="E53" s="167"/>
    </row>
    <row r="54" spans="4:6" ht="19.95" customHeight="1" x14ac:dyDescent="0.3">
      <c r="D54" s="166"/>
      <c r="E54" s="167"/>
    </row>
    <row r="55" spans="4:6" ht="19.95" customHeight="1" x14ac:dyDescent="0.3">
      <c r="D55" s="166"/>
      <c r="E55" s="167"/>
    </row>
    <row r="56" spans="4:6" ht="19.95" customHeight="1" x14ac:dyDescent="0.3">
      <c r="D56" s="166"/>
      <c r="E56" s="167"/>
    </row>
    <row r="57" spans="4:6" ht="19.95" customHeight="1" x14ac:dyDescent="0.3">
      <c r="D57" s="166"/>
      <c r="E57" s="167"/>
    </row>
    <row r="58" spans="4:6" ht="19.95" customHeight="1" x14ac:dyDescent="0.3">
      <c r="D58" s="166"/>
      <c r="E58" s="167"/>
    </row>
    <row r="59" spans="4:6" ht="19.95" customHeight="1" x14ac:dyDescent="0.3">
      <c r="D59" s="166"/>
      <c r="E59" s="167"/>
    </row>
    <row r="60" spans="4:6" ht="19.95" customHeight="1" x14ac:dyDescent="0.3">
      <c r="D60" s="166"/>
      <c r="E60" s="167"/>
    </row>
    <row r="61" spans="4:6" ht="19.95" customHeight="1" x14ac:dyDescent="0.3">
      <c r="D61" s="166"/>
      <c r="E61" s="167"/>
    </row>
    <row r="62" spans="4:6" ht="19.95" customHeight="1" x14ac:dyDescent="0.3">
      <c r="D62" s="166"/>
      <c r="E62" s="167"/>
    </row>
  </sheetData>
  <sheetProtection algorithmName="SHA-512" hashValue="kaVxLsxqo/Bt2nlr5SNSBIo5jcFiyWfhahzRC8mmFGgExhfDptqAOxIiy2OPiS+SbRSErCr7nlep7vZkCgNcjw==" saltValue="UifwxW1mQe1RqkAoMWDvHw==" spinCount="100000" sheet="1" objects="1" scenarios="1" selectLockedCells="1"/>
  <mergeCells count="3">
    <mergeCell ref="O1:P1"/>
    <mergeCell ref="O2:P2"/>
    <mergeCell ref="F3:H3"/>
  </mergeCells>
  <conditionalFormatting sqref="F2">
    <cfRule type="expression" dxfId="413" priority="2048">
      <formula>$A$2=2</formula>
    </cfRule>
  </conditionalFormatting>
  <conditionalFormatting sqref="F3:H3">
    <cfRule type="expression" dxfId="412" priority="2049">
      <formula>$A$3=2</formula>
    </cfRule>
    <cfRule type="expression" dxfId="411" priority="2050">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FF91706-DD8D-4D6D-AA10-51DF7617D45E}">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555A-289A-4F59-BCCB-C7A8343DB88B}">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5" customWidth="1"/>
    <col min="2" max="2" width="5.77734375" style="14" customWidth="1"/>
    <col min="3" max="8" width="2.77734375" style="15" customWidth="1"/>
    <col min="9" max="10" width="8.88671875" style="15" customWidth="1"/>
    <col min="11" max="11" width="20.77734375" style="15" customWidth="1"/>
    <col min="12" max="19" width="8.88671875" style="15" customWidth="1"/>
    <col min="20" max="20" width="0" style="15" hidden="1" customWidth="1"/>
    <col min="21" max="21" width="8.88671875" style="15" hidden="1" customWidth="1"/>
    <col min="22" max="22" width="0" style="15" hidden="1" customWidth="1"/>
    <col min="23" max="16384" width="8.88671875" style="15" hidden="1"/>
  </cols>
  <sheetData>
    <row r="1" spans="2:17" ht="19.95" customHeight="1" x14ac:dyDescent="0.3"/>
    <row r="2" spans="2:17" ht="19.95" customHeight="1" x14ac:dyDescent="0.3">
      <c r="B2" s="54" t="s">
        <v>64</v>
      </c>
    </row>
    <row r="3" spans="2:17" ht="4.95" customHeight="1" x14ac:dyDescent="0.3">
      <c r="B3" s="54"/>
    </row>
    <row r="4" spans="2:17" ht="19.95" customHeight="1" x14ac:dyDescent="0.3">
      <c r="B4" s="14">
        <v>1</v>
      </c>
      <c r="C4" s="177" t="s">
        <v>301</v>
      </c>
      <c r="D4" s="177"/>
      <c r="E4" s="177"/>
      <c r="F4" s="177"/>
      <c r="G4" s="177"/>
      <c r="H4" s="177"/>
      <c r="I4" s="177"/>
      <c r="J4" s="177"/>
      <c r="K4" s="177"/>
      <c r="L4" s="177"/>
      <c r="M4" s="177"/>
      <c r="N4" s="177"/>
      <c r="O4" s="177"/>
      <c r="P4" s="177"/>
      <c r="Q4" s="177"/>
    </row>
    <row r="5" spans="2:17" ht="19.95" customHeight="1" x14ac:dyDescent="0.3">
      <c r="C5" s="177"/>
      <c r="D5" s="177"/>
      <c r="E5" s="177"/>
      <c r="F5" s="177"/>
      <c r="G5" s="177"/>
      <c r="H5" s="177"/>
      <c r="I5" s="177"/>
      <c r="J5" s="177"/>
      <c r="K5" s="177"/>
      <c r="L5" s="177"/>
      <c r="M5" s="177"/>
      <c r="N5" s="177"/>
      <c r="O5" s="177"/>
      <c r="P5" s="177"/>
      <c r="Q5" s="177"/>
    </row>
    <row r="6" spans="2:17" ht="19.95" customHeight="1" x14ac:dyDescent="0.3">
      <c r="B6" s="14">
        <f>B4+1</f>
        <v>2</v>
      </c>
      <c r="C6" s="15" t="s">
        <v>66</v>
      </c>
    </row>
    <row r="7" spans="2:17" ht="19.95" customHeight="1" x14ac:dyDescent="0.3">
      <c r="C7" s="16"/>
      <c r="D7" s="16"/>
      <c r="E7" s="16"/>
      <c r="F7" s="16"/>
      <c r="I7" s="15" t="s">
        <v>63</v>
      </c>
    </row>
    <row r="8" spans="2:17" ht="10.050000000000001" customHeight="1" x14ac:dyDescent="0.3"/>
    <row r="9" spans="2:17" ht="15" customHeight="1" x14ac:dyDescent="0.3">
      <c r="C9" s="17"/>
      <c r="D9" s="17"/>
      <c r="E9" s="17"/>
      <c r="F9" s="17"/>
      <c r="I9" s="176" t="s">
        <v>285</v>
      </c>
      <c r="J9" s="176"/>
      <c r="K9" s="176"/>
      <c r="L9" s="176"/>
      <c r="M9" s="176"/>
      <c r="N9" s="176"/>
      <c r="O9" s="176"/>
      <c r="P9" s="176"/>
      <c r="Q9" s="176"/>
    </row>
    <row r="10" spans="2:17" ht="15" customHeight="1" x14ac:dyDescent="0.3">
      <c r="I10" s="176"/>
      <c r="J10" s="176"/>
      <c r="K10" s="176"/>
      <c r="L10" s="176"/>
      <c r="M10" s="176"/>
      <c r="N10" s="176"/>
      <c r="O10" s="176"/>
      <c r="P10" s="176"/>
      <c r="Q10" s="176"/>
    </row>
    <row r="11" spans="2:17" ht="10.050000000000001" customHeight="1" x14ac:dyDescent="0.3">
      <c r="I11" s="58"/>
      <c r="J11" s="58"/>
      <c r="K11" s="58"/>
      <c r="L11" s="58"/>
      <c r="M11" s="58"/>
      <c r="N11" s="58"/>
      <c r="O11" s="58"/>
      <c r="P11" s="58"/>
      <c r="Q11" s="58"/>
    </row>
    <row r="12" spans="2:17" ht="15" customHeight="1" x14ac:dyDescent="0.3">
      <c r="F12" s="21"/>
      <c r="I12" s="176" t="s">
        <v>245</v>
      </c>
      <c r="J12" s="176"/>
      <c r="K12" s="176"/>
      <c r="L12" s="176"/>
      <c r="M12" s="176"/>
      <c r="N12" s="176"/>
      <c r="O12" s="176"/>
      <c r="P12" s="176"/>
      <c r="Q12" s="176"/>
    </row>
    <row r="13" spans="2:17" ht="15" customHeight="1" x14ac:dyDescent="0.3">
      <c r="I13" s="176"/>
      <c r="J13" s="176"/>
      <c r="K13" s="176"/>
      <c r="L13" s="176"/>
      <c r="M13" s="176"/>
      <c r="N13" s="176"/>
      <c r="O13" s="176"/>
      <c r="P13" s="176"/>
      <c r="Q13" s="176"/>
    </row>
    <row r="14" spans="2:17" ht="15" customHeight="1" x14ac:dyDescent="0.3">
      <c r="I14" s="176"/>
      <c r="J14" s="176"/>
      <c r="K14" s="176"/>
      <c r="L14" s="176"/>
      <c r="M14" s="176"/>
      <c r="N14" s="176"/>
      <c r="O14" s="176"/>
      <c r="P14" s="176"/>
      <c r="Q14" s="176"/>
    </row>
    <row r="15" spans="2:17" ht="15" customHeight="1" x14ac:dyDescent="0.3">
      <c r="I15" s="176"/>
      <c r="J15" s="176"/>
      <c r="K15" s="176"/>
      <c r="L15" s="176"/>
      <c r="M15" s="176"/>
      <c r="N15" s="176"/>
      <c r="O15" s="176"/>
      <c r="P15" s="176"/>
      <c r="Q15" s="176"/>
    </row>
    <row r="16" spans="2:17" ht="10.050000000000001" customHeight="1" x14ac:dyDescent="0.3">
      <c r="I16" s="59"/>
      <c r="J16" s="59"/>
      <c r="K16" s="59"/>
      <c r="L16" s="59"/>
      <c r="M16" s="59"/>
      <c r="N16" s="59"/>
      <c r="O16" s="59"/>
      <c r="P16" s="59"/>
      <c r="Q16" s="59"/>
    </row>
    <row r="17" spans="3:17" ht="15" customHeight="1" x14ac:dyDescent="0.3">
      <c r="C17" s="21"/>
      <c r="D17" s="28" t="s">
        <v>117</v>
      </c>
      <c r="E17" s="28"/>
      <c r="F17" s="21"/>
      <c r="G17" s="28" t="s">
        <v>118</v>
      </c>
      <c r="I17" s="176" t="s">
        <v>186</v>
      </c>
      <c r="J17" s="176"/>
      <c r="K17" s="176"/>
      <c r="L17" s="176"/>
      <c r="M17" s="176"/>
      <c r="N17" s="176"/>
      <c r="O17" s="176"/>
      <c r="P17" s="176"/>
      <c r="Q17" s="176"/>
    </row>
    <row r="18" spans="3:17" ht="15" customHeight="1" x14ac:dyDescent="0.3">
      <c r="I18" s="176"/>
      <c r="J18" s="176"/>
      <c r="K18" s="176"/>
      <c r="L18" s="176"/>
      <c r="M18" s="176"/>
      <c r="N18" s="176"/>
      <c r="O18" s="176"/>
      <c r="P18" s="176"/>
      <c r="Q18" s="176"/>
    </row>
    <row r="19" spans="3:17" ht="10.050000000000001" customHeight="1" x14ac:dyDescent="0.3"/>
    <row r="20" spans="3:17" ht="15" customHeight="1" x14ac:dyDescent="0.3">
      <c r="C20" s="18"/>
      <c r="D20" s="18"/>
      <c r="E20" s="18"/>
      <c r="F20" s="18"/>
      <c r="I20" s="176" t="s">
        <v>65</v>
      </c>
      <c r="J20" s="176"/>
      <c r="K20" s="176"/>
      <c r="L20" s="176"/>
      <c r="M20" s="176"/>
      <c r="N20" s="176"/>
      <c r="O20" s="176"/>
      <c r="P20" s="176"/>
      <c r="Q20" s="176"/>
    </row>
    <row r="21" spans="3:17" ht="15" customHeight="1" x14ac:dyDescent="0.3">
      <c r="I21" s="176"/>
      <c r="J21" s="176"/>
      <c r="K21" s="176"/>
      <c r="L21" s="176"/>
      <c r="M21" s="176"/>
      <c r="N21" s="176"/>
      <c r="O21" s="176"/>
      <c r="P21" s="176"/>
      <c r="Q21" s="176"/>
    </row>
    <row r="22" spans="3:17" ht="15" customHeight="1" x14ac:dyDescent="0.3">
      <c r="I22" s="176"/>
      <c r="J22" s="176"/>
      <c r="K22" s="176"/>
      <c r="L22" s="176"/>
      <c r="M22" s="176"/>
      <c r="N22" s="176"/>
      <c r="O22" s="176"/>
      <c r="P22" s="176"/>
      <c r="Q22" s="176"/>
    </row>
    <row r="23" spans="3:17" ht="19.95" customHeight="1" x14ac:dyDescent="0.3">
      <c r="I23" s="176"/>
      <c r="J23" s="176"/>
      <c r="K23" s="176"/>
      <c r="L23" s="176"/>
      <c r="M23" s="176"/>
      <c r="N23" s="176"/>
      <c r="O23" s="176"/>
      <c r="P23" s="176"/>
      <c r="Q23" s="176"/>
    </row>
    <row r="24" spans="3:17" ht="10.050000000000001" customHeight="1" x14ac:dyDescent="0.3">
      <c r="I24" s="59"/>
      <c r="J24" s="59"/>
      <c r="K24" s="59"/>
      <c r="L24" s="59"/>
      <c r="M24" s="59"/>
      <c r="N24" s="59"/>
      <c r="O24" s="59"/>
      <c r="P24" s="59"/>
      <c r="Q24" s="59"/>
    </row>
    <row r="25" spans="3:17" ht="15" customHeight="1" x14ac:dyDescent="0.3">
      <c r="C25" s="19"/>
      <c r="D25" s="19"/>
      <c r="E25" s="19"/>
      <c r="F25" s="19"/>
      <c r="I25" s="176" t="s">
        <v>109</v>
      </c>
      <c r="J25" s="176"/>
      <c r="K25" s="176"/>
      <c r="L25" s="176"/>
      <c r="M25" s="176"/>
      <c r="N25" s="176"/>
      <c r="O25" s="176"/>
      <c r="P25" s="176"/>
      <c r="Q25" s="176"/>
    </row>
    <row r="26" spans="3:17" ht="15" customHeight="1" x14ac:dyDescent="0.3">
      <c r="I26" s="176"/>
      <c r="J26" s="176"/>
      <c r="K26" s="176"/>
      <c r="L26" s="176"/>
      <c r="M26" s="176"/>
      <c r="N26" s="176"/>
      <c r="O26" s="176"/>
      <c r="P26" s="176"/>
      <c r="Q26" s="176"/>
    </row>
    <row r="27" spans="3:17" ht="10.050000000000001" customHeight="1" x14ac:dyDescent="0.3"/>
    <row r="28" spans="3:17" ht="19.95" customHeight="1" x14ac:dyDescent="0.3">
      <c r="C28" s="20" t="s">
        <v>29</v>
      </c>
      <c r="D28" s="20"/>
      <c r="E28" s="20"/>
      <c r="F28" s="20"/>
      <c r="I28" s="15" t="s">
        <v>302</v>
      </c>
    </row>
    <row r="29" spans="3:17" ht="10.050000000000001" customHeight="1" x14ac:dyDescent="0.3"/>
    <row r="30" spans="3:17" ht="19.95" customHeight="1" x14ac:dyDescent="0.3">
      <c r="C30" s="5" t="s">
        <v>31</v>
      </c>
      <c r="D30" s="5"/>
      <c r="E30" s="5"/>
      <c r="F30" s="5"/>
      <c r="I30" s="15" t="s">
        <v>68</v>
      </c>
    </row>
    <row r="31" spans="3:17" ht="10.050000000000001" customHeight="1" x14ac:dyDescent="0.3"/>
    <row r="32" spans="3:17" ht="19.95" customHeight="1" x14ac:dyDescent="0.3">
      <c r="C32" s="5" t="s">
        <v>21</v>
      </c>
      <c r="D32" s="5"/>
      <c r="E32" s="5"/>
      <c r="F32" s="5"/>
      <c r="I32" s="15" t="s">
        <v>110</v>
      </c>
    </row>
    <row r="33" spans="2:17" ht="10.050000000000001" customHeight="1" x14ac:dyDescent="0.3"/>
    <row r="34" spans="2:17" ht="19.95" customHeight="1" x14ac:dyDescent="0.3">
      <c r="B34" s="14">
        <f>B6+1</f>
        <v>3</v>
      </c>
      <c r="C34" s="15" t="s">
        <v>247</v>
      </c>
    </row>
    <row r="35" spans="2:17" ht="19.95" customHeight="1" x14ac:dyDescent="0.3">
      <c r="B35" s="14">
        <f>B34+1</f>
        <v>4</v>
      </c>
      <c r="C35" s="176" t="s">
        <v>246</v>
      </c>
      <c r="D35" s="176"/>
      <c r="E35" s="176"/>
      <c r="F35" s="176"/>
      <c r="G35" s="176"/>
      <c r="H35" s="176"/>
      <c r="I35" s="176"/>
      <c r="J35" s="176"/>
      <c r="K35" s="176"/>
      <c r="L35" s="176"/>
      <c r="M35" s="176"/>
      <c r="N35" s="176"/>
      <c r="O35" s="176"/>
      <c r="P35" s="176"/>
      <c r="Q35" s="176"/>
    </row>
    <row r="36" spans="2:17" ht="15" customHeight="1" x14ac:dyDescent="0.3">
      <c r="C36" s="176"/>
      <c r="D36" s="176"/>
      <c r="E36" s="176"/>
      <c r="F36" s="176"/>
      <c r="G36" s="176"/>
      <c r="H36" s="176"/>
      <c r="I36" s="176"/>
      <c r="J36" s="176"/>
      <c r="K36" s="176"/>
      <c r="L36" s="176"/>
      <c r="M36" s="176"/>
      <c r="N36" s="176"/>
      <c r="O36" s="176"/>
      <c r="P36" s="176"/>
      <c r="Q36" s="176"/>
    </row>
    <row r="37" spans="2:17" ht="19.95" customHeight="1" x14ac:dyDescent="0.3">
      <c r="B37" s="14">
        <v>5</v>
      </c>
      <c r="C37" s="177" t="s">
        <v>187</v>
      </c>
      <c r="D37" s="177"/>
      <c r="E37" s="177"/>
      <c r="F37" s="177"/>
      <c r="G37" s="177"/>
      <c r="H37" s="177"/>
      <c r="I37" s="177"/>
      <c r="J37" s="177"/>
      <c r="K37" s="177"/>
      <c r="L37" s="177"/>
      <c r="M37" s="177"/>
      <c r="N37" s="177"/>
      <c r="O37" s="177"/>
      <c r="P37" s="177"/>
      <c r="Q37" s="177"/>
    </row>
    <row r="38" spans="2:17" ht="19.95" customHeight="1" x14ac:dyDescent="0.3">
      <c r="C38" s="177"/>
      <c r="D38" s="177"/>
      <c r="E38" s="177"/>
      <c r="F38" s="177"/>
      <c r="G38" s="177"/>
      <c r="H38" s="177"/>
      <c r="I38" s="177"/>
      <c r="J38" s="177"/>
      <c r="K38" s="177"/>
      <c r="L38" s="177"/>
      <c r="M38" s="177"/>
      <c r="N38" s="177"/>
      <c r="O38" s="177"/>
      <c r="P38" s="177"/>
      <c r="Q38" s="177"/>
    </row>
    <row r="39" spans="2:17" ht="12" customHeight="1" x14ac:dyDescent="0.3">
      <c r="C39" s="177"/>
      <c r="D39" s="177"/>
      <c r="E39" s="177"/>
      <c r="F39" s="177"/>
      <c r="G39" s="177"/>
      <c r="H39" s="177"/>
      <c r="I39" s="177"/>
      <c r="J39" s="177"/>
      <c r="K39" s="177"/>
      <c r="L39" s="177"/>
      <c r="M39" s="177"/>
      <c r="N39" s="177"/>
      <c r="O39" s="177"/>
      <c r="P39" s="177"/>
      <c r="Q39" s="177"/>
    </row>
    <row r="40" spans="2:17" ht="19.95" customHeight="1" x14ac:dyDescent="0.3">
      <c r="B40" s="14">
        <v>6</v>
      </c>
      <c r="C40" s="15" t="s">
        <v>272</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w1UV+Z9h51hVf3RBT4mwGlaCwY25Ms2sa4dX4k3zhSVagS9hOklcHuW9JPdZeQCZfiY4m8FsbBOeNzshPkPSSA==" saltValue="Sry06anghnX8KeI5vjZUlQ=="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410" priority="5">
      <formula>ISBLANK(C17)</formula>
    </cfRule>
  </conditionalFormatting>
  <conditionalFormatting sqref="C9:F9">
    <cfRule type="expression" dxfId="409" priority="7">
      <formula>ISBLANK(C9)</formula>
    </cfRule>
  </conditionalFormatting>
  <conditionalFormatting sqref="F12">
    <cfRule type="expression" dxfId="408" priority="6">
      <formula>ISBLANK(F12)</formula>
    </cfRule>
  </conditionalFormatting>
  <conditionalFormatting sqref="F17">
    <cfRule type="expression" dxfId="407"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4A4D9AC-E984-4712-9805-DFA33EE02DD6}">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M257"/>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8" customWidth="1"/>
    <col min="2" max="36" width="2.77734375" style="28" customWidth="1"/>
    <col min="37" max="37" width="1.77734375" style="28" customWidth="1"/>
    <col min="38" max="38" width="13.21875" style="13" hidden="1" customWidth="1"/>
    <col min="39" max="39" width="16.21875" style="13" hidden="1" customWidth="1"/>
    <col min="40" max="40" width="10.109375" style="13" hidden="1" customWidth="1"/>
    <col min="41" max="41" width="20" style="13" hidden="1" customWidth="1"/>
    <col min="42" max="42" width="7.77734375" style="13" hidden="1" customWidth="1"/>
    <col min="43" max="43" width="9.21875" style="13" hidden="1" customWidth="1"/>
    <col min="44" max="44" width="20.77734375" style="13" hidden="1" customWidth="1"/>
    <col min="45" max="45" width="20" style="13" hidden="1" customWidth="1"/>
    <col min="46" max="46" width="7.21875" style="13" hidden="1" customWidth="1"/>
    <col min="47" max="47" width="2.77734375" style="28" customWidth="1"/>
    <col min="48" max="48" width="3.77734375" style="28" customWidth="1"/>
    <col min="49" max="80" width="2.77734375" style="28" customWidth="1"/>
    <col min="81" max="84" width="8.88671875" style="28" customWidth="1"/>
    <col min="85" max="91" width="0" style="28" hidden="1" customWidth="1"/>
    <col min="92" max="16384" width="8.88671875" style="28" hidden="1"/>
  </cols>
  <sheetData>
    <row r="1" spans="2:91" ht="15" customHeight="1" x14ac:dyDescent="0.3">
      <c r="O1" s="3"/>
      <c r="P1" s="3"/>
      <c r="Q1" s="3"/>
      <c r="R1" s="192" t="s">
        <v>371</v>
      </c>
      <c r="S1" s="192"/>
      <c r="T1" s="192"/>
      <c r="U1" s="192"/>
      <c r="V1" s="192"/>
      <c r="W1" s="192"/>
      <c r="X1" s="192"/>
      <c r="Y1" s="192"/>
      <c r="Z1" s="192"/>
      <c r="AA1" s="192"/>
      <c r="AB1" s="192"/>
      <c r="AC1" s="192"/>
      <c r="AD1" s="192"/>
      <c r="AE1" s="192"/>
      <c r="AF1" s="192"/>
      <c r="AG1" s="192"/>
      <c r="AH1" s="192"/>
      <c r="AI1" s="192"/>
      <c r="AJ1" s="192"/>
      <c r="AK1" s="192"/>
      <c r="AL1" s="70"/>
      <c r="AM1" s="70"/>
      <c r="AN1" s="70"/>
      <c r="AO1" s="70"/>
      <c r="AP1" s="70"/>
      <c r="BG1" s="192" t="str">
        <f>R1</f>
        <v>Form 2C.1 - Underground Detention
Design Form</v>
      </c>
      <c r="BH1" s="192"/>
      <c r="BI1" s="192"/>
      <c r="BJ1" s="192"/>
      <c r="BK1" s="192"/>
      <c r="BL1" s="192"/>
      <c r="BM1" s="192"/>
      <c r="BN1" s="192"/>
      <c r="BO1" s="192"/>
      <c r="BP1" s="192"/>
      <c r="BQ1" s="192"/>
      <c r="BR1" s="192"/>
      <c r="BS1" s="192"/>
      <c r="BT1" s="192"/>
      <c r="BU1" s="192"/>
      <c r="BV1" s="192"/>
      <c r="BW1" s="192"/>
      <c r="BX1" s="192"/>
      <c r="BY1" s="192"/>
      <c r="BZ1" s="192"/>
      <c r="CA1" s="192"/>
      <c r="CB1" s="192"/>
      <c r="CH1" s="71"/>
      <c r="CI1" s="71"/>
      <c r="CJ1" s="71"/>
      <c r="CK1" s="71"/>
      <c r="CL1" s="71"/>
      <c r="CM1" s="71"/>
    </row>
    <row r="2" spans="2:91" ht="15" customHeight="1" x14ac:dyDescent="0.3">
      <c r="J2" s="3"/>
      <c r="K2" s="3"/>
      <c r="L2" s="3"/>
      <c r="M2" s="3"/>
      <c r="N2" s="3"/>
      <c r="O2" s="3"/>
      <c r="P2" s="3"/>
      <c r="Q2" s="3"/>
      <c r="R2" s="192"/>
      <c r="S2" s="192"/>
      <c r="T2" s="192"/>
      <c r="U2" s="192"/>
      <c r="V2" s="192"/>
      <c r="W2" s="192"/>
      <c r="X2" s="192"/>
      <c r="Y2" s="192"/>
      <c r="Z2" s="192"/>
      <c r="AA2" s="192"/>
      <c r="AB2" s="192"/>
      <c r="AC2" s="192"/>
      <c r="AD2" s="192"/>
      <c r="AE2" s="192"/>
      <c r="AF2" s="192"/>
      <c r="AG2" s="192"/>
      <c r="AH2" s="192"/>
      <c r="AI2" s="192"/>
      <c r="AJ2" s="192"/>
      <c r="AK2" s="192"/>
      <c r="AL2" s="70"/>
      <c r="AM2" s="70"/>
      <c r="AN2" s="70"/>
      <c r="AO2" s="70"/>
      <c r="AP2" s="70"/>
      <c r="BG2" s="192"/>
      <c r="BH2" s="192"/>
      <c r="BI2" s="192"/>
      <c r="BJ2" s="192"/>
      <c r="BK2" s="192"/>
      <c r="BL2" s="192"/>
      <c r="BM2" s="192"/>
      <c r="BN2" s="192"/>
      <c r="BO2" s="192"/>
      <c r="BP2" s="192"/>
      <c r="BQ2" s="192"/>
      <c r="BR2" s="192"/>
      <c r="BS2" s="192"/>
      <c r="BT2" s="192"/>
      <c r="BU2" s="192"/>
      <c r="BV2" s="192"/>
      <c r="BW2" s="192"/>
      <c r="BX2" s="192"/>
      <c r="BY2" s="192"/>
      <c r="BZ2" s="192"/>
      <c r="CA2" s="192"/>
      <c r="CB2" s="192"/>
      <c r="CH2" s="71"/>
      <c r="CI2" s="71"/>
      <c r="CJ2" s="71"/>
      <c r="CK2" s="71"/>
      <c r="CL2" s="71"/>
      <c r="CM2" s="71"/>
    </row>
    <row r="3" spans="2:91" ht="15" customHeight="1" x14ac:dyDescent="0.3">
      <c r="J3" s="3"/>
      <c r="K3" s="3"/>
      <c r="L3" s="3"/>
      <c r="M3" s="3"/>
      <c r="N3" s="3"/>
      <c r="O3" s="3"/>
      <c r="P3" s="3"/>
      <c r="Q3" s="3"/>
      <c r="R3" s="192"/>
      <c r="S3" s="192"/>
      <c r="T3" s="192"/>
      <c r="U3" s="192"/>
      <c r="V3" s="192"/>
      <c r="W3" s="192"/>
      <c r="X3" s="192"/>
      <c r="Y3" s="192"/>
      <c r="Z3" s="192"/>
      <c r="AA3" s="192"/>
      <c r="AB3" s="192"/>
      <c r="AC3" s="192"/>
      <c r="AD3" s="192"/>
      <c r="AE3" s="192"/>
      <c r="AF3" s="192"/>
      <c r="AG3" s="192"/>
      <c r="AH3" s="192"/>
      <c r="AI3" s="192"/>
      <c r="AJ3" s="192"/>
      <c r="AK3" s="192"/>
      <c r="AL3" s="70"/>
      <c r="AM3" s="70"/>
      <c r="AN3" s="70"/>
      <c r="AO3" s="70"/>
      <c r="AP3" s="70"/>
      <c r="BG3" s="192"/>
      <c r="BH3" s="192"/>
      <c r="BI3" s="192"/>
      <c r="BJ3" s="192"/>
      <c r="BK3" s="192"/>
      <c r="BL3" s="192"/>
      <c r="BM3" s="192"/>
      <c r="BN3" s="192"/>
      <c r="BO3" s="192"/>
      <c r="BP3" s="192"/>
      <c r="BQ3" s="192"/>
      <c r="BR3" s="192"/>
      <c r="BS3" s="192"/>
      <c r="BT3" s="192"/>
      <c r="BU3" s="192"/>
      <c r="BV3" s="192"/>
      <c r="BW3" s="192"/>
      <c r="BX3" s="192"/>
      <c r="BY3" s="192"/>
      <c r="BZ3" s="192"/>
      <c r="CA3" s="192"/>
      <c r="CB3" s="192"/>
      <c r="CH3" s="71"/>
      <c r="CI3" s="71"/>
      <c r="CJ3" s="71"/>
      <c r="CK3" s="71"/>
      <c r="CL3" s="71"/>
      <c r="CM3" s="71"/>
    </row>
    <row r="4" spans="2:91" ht="15" customHeight="1" x14ac:dyDescent="0.3">
      <c r="J4" s="3"/>
      <c r="K4" s="3"/>
      <c r="L4" s="3"/>
      <c r="M4" s="3"/>
      <c r="N4" s="3"/>
      <c r="O4" s="3"/>
      <c r="P4" s="3"/>
      <c r="Q4" s="3"/>
      <c r="R4" s="192"/>
      <c r="S4" s="192"/>
      <c r="T4" s="192"/>
      <c r="U4" s="192"/>
      <c r="V4" s="192"/>
      <c r="W4" s="192"/>
      <c r="X4" s="192"/>
      <c r="Y4" s="192"/>
      <c r="Z4" s="192"/>
      <c r="AA4" s="192"/>
      <c r="AB4" s="192"/>
      <c r="AC4" s="192"/>
      <c r="AD4" s="192"/>
      <c r="AE4" s="192"/>
      <c r="AF4" s="192"/>
      <c r="AG4" s="192"/>
      <c r="AH4" s="192"/>
      <c r="AI4" s="192"/>
      <c r="AJ4" s="192"/>
      <c r="AK4" s="192"/>
      <c r="AL4" s="70"/>
      <c r="AM4" s="70"/>
      <c r="AN4" s="70"/>
      <c r="AO4" s="70"/>
      <c r="AP4" s="70"/>
      <c r="BG4" s="192"/>
      <c r="BH4" s="192"/>
      <c r="BI4" s="192"/>
      <c r="BJ4" s="192"/>
      <c r="BK4" s="192"/>
      <c r="BL4" s="192"/>
      <c r="BM4" s="192"/>
      <c r="BN4" s="192"/>
      <c r="BO4" s="192"/>
      <c r="BP4" s="192"/>
      <c r="BQ4" s="192"/>
      <c r="BR4" s="192"/>
      <c r="BS4" s="192"/>
      <c r="BT4" s="192"/>
      <c r="BU4" s="192"/>
      <c r="BV4" s="192"/>
      <c r="BW4" s="192"/>
      <c r="BX4" s="192"/>
      <c r="BY4" s="192"/>
      <c r="BZ4" s="192"/>
      <c r="CA4" s="192"/>
      <c r="CB4" s="192"/>
      <c r="CH4" s="71"/>
      <c r="CI4" s="71"/>
      <c r="CJ4" s="71"/>
      <c r="CK4" s="71"/>
      <c r="CL4" s="71"/>
      <c r="CM4" s="71"/>
    </row>
    <row r="5" spans="2:91" ht="4.95" customHeight="1" x14ac:dyDescent="0.3">
      <c r="J5" s="3"/>
      <c r="K5" s="3"/>
      <c r="L5" s="3"/>
      <c r="M5" s="3"/>
      <c r="N5" s="3"/>
      <c r="O5" s="3"/>
      <c r="P5" s="3"/>
      <c r="Q5" s="3"/>
      <c r="R5" s="25"/>
      <c r="S5" s="25"/>
      <c r="T5" s="25"/>
      <c r="U5" s="25"/>
      <c r="V5" s="25"/>
      <c r="W5" s="25"/>
      <c r="X5" s="25"/>
      <c r="Y5" s="25"/>
      <c r="Z5" s="25"/>
      <c r="AA5" s="25"/>
      <c r="AB5" s="25"/>
      <c r="AC5" s="25"/>
      <c r="AD5" s="25"/>
      <c r="AE5" s="25"/>
      <c r="AF5" s="25"/>
      <c r="AG5" s="25"/>
      <c r="AH5" s="25"/>
      <c r="AI5" s="25"/>
      <c r="AJ5" s="25"/>
      <c r="AL5" s="70"/>
      <c r="AM5" s="70"/>
      <c r="AN5" s="70"/>
      <c r="AO5" s="70"/>
      <c r="AP5" s="70"/>
    </row>
    <row r="6" spans="2:91" ht="14.55" customHeight="1" x14ac:dyDescent="0.3">
      <c r="B6" s="1" t="s">
        <v>0</v>
      </c>
      <c r="C6" s="1"/>
      <c r="D6" s="1"/>
      <c r="E6" s="1"/>
      <c r="F6" s="1"/>
      <c r="G6" s="1"/>
      <c r="H6" s="1"/>
      <c r="I6" s="1"/>
      <c r="AC6" s="2" t="s">
        <v>458</v>
      </c>
      <c r="AD6" s="226"/>
      <c r="AE6" s="226"/>
      <c r="AF6" s="226"/>
      <c r="AG6" s="226"/>
      <c r="AH6" s="226"/>
      <c r="AI6" s="226"/>
      <c r="AJ6" s="226"/>
      <c r="AL6" s="70"/>
      <c r="AV6" s="191" t="s">
        <v>67</v>
      </c>
      <c r="AW6" s="191"/>
      <c r="AX6" s="191"/>
      <c r="AY6" s="191"/>
      <c r="AZ6" s="191"/>
      <c r="BA6" s="191"/>
      <c r="BB6" s="191"/>
      <c r="BC6" s="191"/>
      <c r="BD6" s="191"/>
      <c r="BE6" s="191"/>
      <c r="BF6" s="191"/>
      <c r="BG6" s="191"/>
      <c r="BH6" s="191"/>
      <c r="BI6" s="191"/>
      <c r="BJ6" s="191"/>
      <c r="BK6" s="67"/>
      <c r="BL6" s="67"/>
      <c r="BM6" s="67"/>
      <c r="BN6" s="67"/>
      <c r="BO6" s="67"/>
      <c r="BP6" s="67"/>
      <c r="BQ6" s="67"/>
      <c r="BR6" s="67"/>
      <c r="BS6" s="67"/>
      <c r="BT6" s="67"/>
      <c r="BU6" s="67"/>
      <c r="BV6" s="67"/>
      <c r="BW6" s="67"/>
      <c r="BX6" s="67"/>
      <c r="BY6" s="67"/>
      <c r="BZ6" s="67"/>
      <c r="CA6" s="85"/>
    </row>
    <row r="7" spans="2:91" ht="14.55" customHeight="1" x14ac:dyDescent="0.3">
      <c r="D7" s="2" t="s">
        <v>128</v>
      </c>
      <c r="E7" s="182"/>
      <c r="F7" s="182"/>
      <c r="G7" s="182"/>
      <c r="H7" s="182"/>
      <c r="I7" s="182"/>
      <c r="J7" s="182"/>
      <c r="K7" s="182"/>
      <c r="L7" s="182"/>
      <c r="M7" s="182"/>
      <c r="N7" s="182"/>
      <c r="O7" s="182"/>
      <c r="P7" s="182"/>
      <c r="Q7" s="182"/>
      <c r="R7" s="182"/>
      <c r="S7" s="182"/>
      <c r="T7" s="182"/>
      <c r="U7" s="182"/>
      <c r="V7" s="182"/>
      <c r="W7" s="182"/>
      <c r="X7" s="182"/>
      <c r="AD7" s="2" t="s">
        <v>19</v>
      </c>
      <c r="AE7" s="195"/>
      <c r="AF7" s="195"/>
      <c r="AG7" s="195"/>
      <c r="AH7" s="195"/>
      <c r="AI7" s="195"/>
      <c r="AJ7" s="195"/>
      <c r="AL7" s="70"/>
      <c r="AV7" s="191"/>
      <c r="AW7" s="191"/>
      <c r="AX7" s="191"/>
      <c r="AY7" s="191"/>
      <c r="AZ7" s="191"/>
      <c r="BA7" s="191"/>
      <c r="BB7" s="191"/>
      <c r="BC7" s="191"/>
      <c r="BD7" s="191"/>
      <c r="BE7" s="191"/>
      <c r="BF7" s="191"/>
      <c r="BG7" s="191"/>
      <c r="BH7" s="191"/>
      <c r="BI7" s="191"/>
      <c r="BJ7" s="191"/>
      <c r="BK7" s="67"/>
      <c r="BL7" s="67"/>
      <c r="BM7" s="67"/>
      <c r="BN7" s="67"/>
      <c r="BO7" s="67"/>
      <c r="BP7" s="67"/>
      <c r="BQ7" s="67"/>
      <c r="BR7" s="67"/>
      <c r="BS7" s="67"/>
      <c r="BT7" s="67"/>
      <c r="BU7" s="67"/>
      <c r="BV7" s="67"/>
      <c r="BW7" s="67"/>
      <c r="BX7" s="67"/>
      <c r="BY7" s="67"/>
      <c r="BZ7" s="67"/>
      <c r="CA7" s="86"/>
    </row>
    <row r="8" spans="2:91" ht="14.55" customHeight="1" x14ac:dyDescent="0.3">
      <c r="D8" s="2" t="s">
        <v>129</v>
      </c>
      <c r="E8" s="200"/>
      <c r="F8" s="200"/>
      <c r="G8" s="200"/>
      <c r="H8" s="200"/>
      <c r="I8" s="200"/>
      <c r="J8" s="200"/>
      <c r="K8" s="200"/>
      <c r="L8" s="200"/>
      <c r="M8" s="200"/>
      <c r="N8" s="200"/>
      <c r="O8" s="200"/>
      <c r="P8" s="200"/>
      <c r="Q8" s="200"/>
      <c r="R8" s="200"/>
      <c r="S8" s="200"/>
      <c r="T8" s="200"/>
      <c r="U8" s="200"/>
      <c r="V8" s="200"/>
      <c r="W8" s="200"/>
      <c r="X8" s="200"/>
      <c r="AD8" s="2" t="s">
        <v>32</v>
      </c>
      <c r="AE8" s="201"/>
      <c r="AF8" s="201"/>
      <c r="AG8" s="201"/>
      <c r="AH8" s="201"/>
      <c r="AI8" s="201"/>
      <c r="AJ8" s="201"/>
      <c r="AV8" s="76" t="s">
        <v>387</v>
      </c>
      <c r="AY8" s="86"/>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86"/>
    </row>
    <row r="9" spans="2:9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72"/>
      <c r="AM9" s="72"/>
      <c r="AN9" s="72"/>
      <c r="AO9" s="72"/>
      <c r="AP9" s="72"/>
      <c r="AV9" s="94">
        <v>1</v>
      </c>
      <c r="AW9" s="12" t="s">
        <v>399</v>
      </c>
      <c r="AY9" s="92"/>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85"/>
    </row>
    <row r="10" spans="2:91" ht="14.55" customHeight="1" x14ac:dyDescent="0.3">
      <c r="E10" s="2" t="s">
        <v>179</v>
      </c>
      <c r="F10" s="62"/>
      <c r="G10" s="28" t="s">
        <v>123</v>
      </c>
      <c r="M10" s="62"/>
      <c r="N10" s="28" t="s">
        <v>124</v>
      </c>
      <c r="U10" s="62"/>
      <c r="V10" s="28" t="s">
        <v>125</v>
      </c>
      <c r="AC10" s="113"/>
      <c r="AD10" s="28" t="str">
        <f>" "&amp;Tables!F37</f>
        <v xml:space="preserve"> Drainage Rights</v>
      </c>
      <c r="AV10" s="94">
        <f>AV9+1</f>
        <v>2</v>
      </c>
      <c r="AW10" s="28" t="s">
        <v>336</v>
      </c>
      <c r="AY10" s="86"/>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85"/>
    </row>
    <row r="11" spans="2:91" ht="4.95" customHeight="1" x14ac:dyDescent="0.3">
      <c r="C11" s="2"/>
      <c r="D11" s="2"/>
      <c r="E11" s="2"/>
      <c r="F11" s="2"/>
      <c r="G11" s="2"/>
      <c r="H11" s="2"/>
      <c r="I11" s="2"/>
      <c r="AY11" s="86"/>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86"/>
    </row>
    <row r="12" spans="2:91" ht="15" customHeight="1" x14ac:dyDescent="0.3">
      <c r="C12" s="2"/>
      <c r="D12" s="2"/>
      <c r="E12" s="2"/>
      <c r="F12" s="62"/>
      <c r="G12" s="28" t="s">
        <v>190</v>
      </c>
      <c r="M12" s="62"/>
      <c r="N12" s="28" t="s">
        <v>191</v>
      </c>
      <c r="U12" s="62"/>
      <c r="V12" s="28" t="s">
        <v>192</v>
      </c>
      <c r="AC12"/>
      <c r="AW12" s="28" t="s">
        <v>337</v>
      </c>
      <c r="AY12" s="86"/>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86"/>
    </row>
    <row r="13" spans="2:91" ht="15" customHeight="1" x14ac:dyDescent="0.3">
      <c r="C13" s="2"/>
      <c r="D13" s="2"/>
      <c r="E13" s="2"/>
      <c r="F13" s="2"/>
      <c r="G13" s="2"/>
      <c r="H13" s="2"/>
      <c r="I13" s="2"/>
      <c r="AV13" s="94">
        <f>AV10+1</f>
        <v>3</v>
      </c>
      <c r="AW13" s="28" t="s">
        <v>486</v>
      </c>
      <c r="AY13" s="86"/>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86"/>
    </row>
    <row r="14" spans="2:91" ht="14.55" customHeight="1" x14ac:dyDescent="0.3">
      <c r="D14" s="2"/>
      <c r="F14" s="2" t="s">
        <v>439</v>
      </c>
      <c r="G14" s="62"/>
      <c r="H14" s="12" t="s">
        <v>364</v>
      </c>
      <c r="J14" s="113"/>
      <c r="K14" s="12" t="s">
        <v>365</v>
      </c>
      <c r="Z14" s="2" t="s">
        <v>440</v>
      </c>
      <c r="AA14" s="185"/>
      <c r="AB14" s="185"/>
      <c r="AC14" s="185"/>
      <c r="AD14" s="185"/>
      <c r="AE14" s="193" t="str">
        <f>IF($AM$16=0,"Units?",IF($AM$16=1,"ac",IF($AM$16=2,"sq-ft","Error")))</f>
        <v>Units?</v>
      </c>
      <c r="AF14" s="193"/>
      <c r="AL14" s="96">
        <f>IF(AND(ISBLANK(G14),ISBLANK(J14)),1,2)</f>
        <v>1</v>
      </c>
      <c r="AM14" s="96">
        <f>IF(ISBLANK(G14),0,1)</f>
        <v>0</v>
      </c>
      <c r="AO14" s="72" t="s">
        <v>441</v>
      </c>
      <c r="AP14" s="125">
        <f>IF($AM$16=2,AA15/43560,AA15)</f>
        <v>0</v>
      </c>
      <c r="AQ14" s="13" t="s">
        <v>442</v>
      </c>
      <c r="AW14" s="28" t="str">
        <f>"Hydrology for Small Watersheds Technical Release 55 (TR-55) or equivalent as approved by the "&amp;Tables!$F$23&amp;" Engineer;"</f>
        <v>Hydrology for Small Watersheds Technical Release 55 (TR-55) or equivalent as approved by the County Engineer;</v>
      </c>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85"/>
    </row>
    <row r="15" spans="2:91" ht="14.55" customHeight="1" x14ac:dyDescent="0.3">
      <c r="B15" s="28" t="s">
        <v>2</v>
      </c>
      <c r="Z15" s="2" t="s">
        <v>443</v>
      </c>
      <c r="AA15" s="209"/>
      <c r="AB15" s="209"/>
      <c r="AC15" s="209"/>
      <c r="AD15" s="209"/>
      <c r="AE15" s="193" t="str">
        <f>IF($AM$16=0,"Units?",IF($AM$16=1,"ac",IF($AM$16=2,"sq-ft","Error")))</f>
        <v>Units?</v>
      </c>
      <c r="AF15" s="193"/>
      <c r="AM15" s="96">
        <f>IF(ISBLANK(J14),0,2)</f>
        <v>0</v>
      </c>
      <c r="AN15" s="72"/>
      <c r="AO15" s="72" t="s">
        <v>444</v>
      </c>
      <c r="AP15" s="125">
        <f>IF($AM$16=2,J21/43560,J21)</f>
        <v>0</v>
      </c>
      <c r="AQ15" s="13" t="s">
        <v>442</v>
      </c>
      <c r="AV15" s="94">
        <f>AV13+1</f>
        <v>4</v>
      </c>
      <c r="AW15" s="76" t="s">
        <v>274</v>
      </c>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85"/>
    </row>
    <row r="16" spans="2:91" ht="14.55" customHeight="1" x14ac:dyDescent="0.3">
      <c r="D16" s="2"/>
      <c r="E16" s="2"/>
      <c r="F16" s="2"/>
      <c r="G16" s="2"/>
      <c r="I16" s="2" t="s">
        <v>180</v>
      </c>
      <c r="J16" s="185"/>
      <c r="K16" s="185"/>
      <c r="L16" s="185"/>
      <c r="M16" s="185"/>
      <c r="N16" s="193" t="str">
        <f t="shared" ref="N16:N21" si="0">IF($AM$16=0,"Units?",IF($AM$16=1,"ac",IF($AM$16=2,"sq-ft","Error")))</f>
        <v>Units?</v>
      </c>
      <c r="O16" s="193"/>
      <c r="S16" s="28" t="s">
        <v>52</v>
      </c>
      <c r="AM16" s="96">
        <f>SUM(AM14:AM15)</f>
        <v>0</v>
      </c>
      <c r="AN16" s="13" t="s">
        <v>445</v>
      </c>
      <c r="AO16" s="72" t="s">
        <v>446</v>
      </c>
      <c r="AP16" s="125">
        <f>AP15-AP14</f>
        <v>0</v>
      </c>
      <c r="AQ16" s="13" t="s">
        <v>442</v>
      </c>
      <c r="AV16" s="86"/>
      <c r="AW16" s="76" t="str">
        <f>"pre-development hydrology for the "&amp;Tables!F28&amp;"-year, 24-hour rainfall depths;"</f>
        <v>pre-development hydrology for the 2, 5, 10, 25, 50, and 100-year, 24-hour rainfall depths;</v>
      </c>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85"/>
    </row>
    <row r="17" spans="2:80" ht="14.55" customHeight="1" x14ac:dyDescent="0.3">
      <c r="D17" s="2"/>
      <c r="E17" s="2"/>
      <c r="F17" s="2"/>
      <c r="G17" s="2"/>
      <c r="I17" s="2" t="s">
        <v>181</v>
      </c>
      <c r="J17" s="183"/>
      <c r="K17" s="183"/>
      <c r="L17" s="183"/>
      <c r="M17" s="183"/>
      <c r="N17" s="193" t="str">
        <f t="shared" si="0"/>
        <v>Units?</v>
      </c>
      <c r="O17" s="193"/>
      <c r="V17" s="2" t="s">
        <v>53</v>
      </c>
      <c r="W17" s="208">
        <f>IF(AL17=1,"0.00",IFERROR(IF($J$21-$AA$15&lt;0,0,$J$21-$AA$15),""))</f>
        <v>0</v>
      </c>
      <c r="X17" s="208"/>
      <c r="Y17" s="208"/>
      <c r="Z17" s="208"/>
      <c r="AA17" s="193" t="str">
        <f>IF($AM$16=0,"Units?",IF($AM$16=1,"ac",IF($AM$16=2,"sq-ft","Error")))</f>
        <v>Units?</v>
      </c>
      <c r="AB17" s="193"/>
      <c r="AD17" s="2" t="s">
        <v>53</v>
      </c>
      <c r="AE17" s="194">
        <f>AP16</f>
        <v>0</v>
      </c>
      <c r="AF17" s="194"/>
      <c r="AG17" s="194"/>
      <c r="AH17" s="194"/>
      <c r="AI17" s="193" t="s">
        <v>442</v>
      </c>
      <c r="AJ17" s="193"/>
      <c r="AL17" s="96">
        <f>IF(AND(J21=0,ISBLANK(AA15)),0,IF(OR(J21-AA15=0,J21-AA15&lt;0),1,2))</f>
        <v>0</v>
      </c>
      <c r="AM17" s="13" t="s">
        <v>447</v>
      </c>
      <c r="AV17" s="23">
        <f>AV15+1</f>
        <v>5</v>
      </c>
      <c r="AW17" s="28" t="s">
        <v>487</v>
      </c>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85"/>
    </row>
    <row r="18" spans="2:80" ht="14.55" customHeight="1" x14ac:dyDescent="0.3">
      <c r="D18" s="2"/>
      <c r="E18" s="2"/>
      <c r="F18" s="2"/>
      <c r="G18" s="2"/>
      <c r="I18" s="2" t="s">
        <v>182</v>
      </c>
      <c r="J18" s="183"/>
      <c r="K18" s="183"/>
      <c r="L18" s="183"/>
      <c r="M18" s="183"/>
      <c r="N18" s="193" t="str">
        <f t="shared" si="0"/>
        <v>Units?</v>
      </c>
      <c r="O18" s="193"/>
      <c r="S18" s="28" t="s">
        <v>33</v>
      </c>
      <c r="AW18" s="4" t="s">
        <v>94</v>
      </c>
      <c r="AX18" s="28" t="str">
        <f>"Obtain "&amp;Tables!F37&amp;" for the adjacent property"</f>
        <v>Obtain Drainage Rights for the adjacent property</v>
      </c>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85"/>
    </row>
    <row r="19" spans="2:80" ht="14.55" customHeight="1" x14ac:dyDescent="0.3">
      <c r="D19" s="2"/>
      <c r="E19" s="2"/>
      <c r="F19" s="2"/>
      <c r="G19" s="2"/>
      <c r="I19" s="2" t="s">
        <v>183</v>
      </c>
      <c r="J19" s="183"/>
      <c r="K19" s="183"/>
      <c r="L19" s="183"/>
      <c r="M19" s="183"/>
      <c r="N19" s="193" t="str">
        <f t="shared" si="0"/>
        <v>Units?</v>
      </c>
      <c r="O19" s="193"/>
      <c r="V19" s="2" t="s">
        <v>35</v>
      </c>
      <c r="W19" s="28" t="str">
        <f>"AIA acres X "&amp;Tables!G15&amp; " in X 3,630"</f>
        <v>AIA acres X 1.00 in X 3,630</v>
      </c>
      <c r="AW19" s="4" t="s">
        <v>95</v>
      </c>
      <c r="AX19" s="28" t="str">
        <f>"If "&amp;Tables!F37&amp;" cannot be obtained, size the detention pond to attenuate the"</f>
        <v>If Drainage Rights cannot be obtained, size the detention pond to attenuate the</v>
      </c>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85"/>
    </row>
    <row r="20" spans="2:80" ht="14.55" customHeight="1" thickBot="1" x14ac:dyDescent="0.35">
      <c r="D20" s="2"/>
      <c r="E20" s="2"/>
      <c r="F20" s="2"/>
      <c r="G20" s="2"/>
      <c r="I20" s="2" t="s">
        <v>184</v>
      </c>
      <c r="J20" s="180"/>
      <c r="K20" s="180"/>
      <c r="L20" s="180"/>
      <c r="M20" s="180"/>
      <c r="N20" s="193" t="str">
        <f t="shared" si="0"/>
        <v>Units?</v>
      </c>
      <c r="O20" s="193"/>
      <c r="V20" s="2" t="s">
        <v>35</v>
      </c>
      <c r="W20" s="194">
        <f>IF(AL17=1,"0.00",IFERROR(IF($J$21-$AA$15&lt;0,0,$AP$16),""))</f>
        <v>0</v>
      </c>
      <c r="X20" s="194"/>
      <c r="Y20" s="194"/>
      <c r="Z20" s="194"/>
      <c r="AA20" s="28" t="str">
        <f>"acres X "&amp;Tables!G15&amp;" in X 3,630"</f>
        <v>acres X 1.00 in X 3,630</v>
      </c>
      <c r="AX20" s="76" t="str">
        <f>"post-development peak discharges for the "&amp;Tables!F34&amp;"-year to be less than the pre-development "</f>
        <v xml:space="preserve">post-development peak discharges for the 2, 5, 10, 25, 50, and 100-year to be less than the pre-development </v>
      </c>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86"/>
    </row>
    <row r="21" spans="2:80" ht="14.55" customHeight="1" thickTop="1" x14ac:dyDescent="0.3">
      <c r="D21" s="2"/>
      <c r="E21" s="2"/>
      <c r="F21" s="2"/>
      <c r="G21" s="2"/>
      <c r="I21" s="2" t="s">
        <v>185</v>
      </c>
      <c r="J21" s="208">
        <f>IF(SUM($J$16:$J$20)=0,0,SUM($J$16:$J$20))</f>
        <v>0</v>
      </c>
      <c r="K21" s="208"/>
      <c r="L21" s="208"/>
      <c r="M21" s="208"/>
      <c r="N21" s="193" t="str">
        <f t="shared" si="0"/>
        <v>Units?</v>
      </c>
      <c r="O21" s="193"/>
      <c r="V21" s="2" t="s">
        <v>35</v>
      </c>
      <c r="W21" s="203">
        <f>IF(AL17=1,"0",IFERROR(ROUND(IF(AP16*Tables!F15*3630&lt;0,0,AP16*Tables!F15*3630),0),""))</f>
        <v>0</v>
      </c>
      <c r="X21" s="203"/>
      <c r="Y21" s="203"/>
      <c r="Z21" s="203"/>
      <c r="AA21" s="28" t="s">
        <v>34</v>
      </c>
      <c r="AX21" s="76" t="str">
        <f>"peak discharge(s) for the "&amp;AR177&amp;"-year storm event(s)"</f>
        <v>peak discharge(s) for the 2, 5, 10, 25, 50, and 100-year storm event(s)</v>
      </c>
      <c r="AY21" s="86"/>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85"/>
    </row>
    <row r="22" spans="2:80" ht="15" customHeight="1" x14ac:dyDescent="0.3">
      <c r="AV22" s="94">
        <f>AV17+1</f>
        <v>6</v>
      </c>
      <c r="AW22" s="28" t="s">
        <v>338</v>
      </c>
      <c r="AX22" s="86"/>
      <c r="AY22" s="86"/>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85"/>
    </row>
    <row r="23" spans="2:80" ht="13.95" customHeight="1" x14ac:dyDescent="0.3">
      <c r="B23" s="1" t="s">
        <v>3</v>
      </c>
      <c r="C23" s="1"/>
      <c r="D23" s="1"/>
      <c r="E23" s="1"/>
      <c r="F23" s="1"/>
      <c r="G23" s="1"/>
      <c r="H23" s="1"/>
      <c r="I23" s="1"/>
      <c r="Y23" s="2" t="s">
        <v>194</v>
      </c>
      <c r="Z23" s="62"/>
      <c r="AA23" s="28" t="s">
        <v>196</v>
      </c>
      <c r="AC23" s="62"/>
      <c r="AD23" s="28" t="s">
        <v>197</v>
      </c>
      <c r="AF23" s="62"/>
      <c r="AG23" s="28" t="s">
        <v>198</v>
      </c>
      <c r="AI23" s="62"/>
      <c r="AJ23" s="28" t="s">
        <v>199</v>
      </c>
      <c r="AL23" s="96">
        <f>IF(AND(ISBLANK(Z23),ISBLANK(AC23),ISBLANK(AF23),ISBLANK(AI23)),1,2)</f>
        <v>1</v>
      </c>
      <c r="AV23" s="94"/>
      <c r="AW23" s="28" t="s">
        <v>339</v>
      </c>
      <c r="AX23" s="86"/>
      <c r="AY23" s="86"/>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86"/>
    </row>
    <row r="24" spans="2:80" s="22" customFormat="1" ht="15" hidden="1" customHeight="1" x14ac:dyDescent="0.3">
      <c r="B24" s="138"/>
      <c r="C24" s="138"/>
      <c r="D24" s="138"/>
      <c r="E24" s="138"/>
      <c r="F24" s="138"/>
      <c r="G24" s="138"/>
      <c r="H24" s="138"/>
      <c r="I24" s="138"/>
      <c r="L24" s="96">
        <f>IF(ISBLANK(L25),1,2)</f>
        <v>1</v>
      </c>
      <c r="O24" s="129"/>
      <c r="P24" s="140">
        <f>IF(ISBLANK(P25),1,2)</f>
        <v>1</v>
      </c>
      <c r="Q24" s="129"/>
      <c r="R24" s="129"/>
      <c r="S24" s="129"/>
      <c r="T24" s="140">
        <f>IF(ISBLANK(T25),1,2)</f>
        <v>1</v>
      </c>
      <c r="U24" s="129"/>
      <c r="V24" s="129"/>
      <c r="X24" s="96">
        <f>IF(ISBLANK(X25),1,2)</f>
        <v>1</v>
      </c>
      <c r="AB24" s="96">
        <f>IF(ISBLANK(AB25),1,2)</f>
        <v>1</v>
      </c>
      <c r="CA24" s="139"/>
    </row>
    <row r="25" spans="2:80" ht="13.95" customHeight="1" x14ac:dyDescent="0.3">
      <c r="I25" s="2"/>
      <c r="J25" s="2" t="s">
        <v>46</v>
      </c>
      <c r="K25" s="2"/>
      <c r="L25" s="186"/>
      <c r="M25" s="186"/>
      <c r="N25" s="186"/>
      <c r="P25" s="186"/>
      <c r="Q25" s="186"/>
      <c r="R25" s="186"/>
      <c r="T25" s="186"/>
      <c r="U25" s="186"/>
      <c r="V25" s="186"/>
      <c r="W25" s="4"/>
      <c r="X25" s="186"/>
      <c r="Y25" s="186"/>
      <c r="Z25" s="186"/>
      <c r="AB25" s="186"/>
      <c r="AC25" s="186"/>
      <c r="AD25" s="186"/>
      <c r="AE25" s="4"/>
      <c r="AF25" s="188" t="s">
        <v>13</v>
      </c>
      <c r="AG25" s="188"/>
      <c r="AH25" s="188"/>
      <c r="AI25" s="4"/>
      <c r="AJ25" s="4"/>
      <c r="AW25" s="28" t="s">
        <v>275</v>
      </c>
      <c r="AY25" s="86"/>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row>
    <row r="26" spans="2:80" ht="13.95" customHeight="1" x14ac:dyDescent="0.3">
      <c r="H26" s="2" t="s">
        <v>448</v>
      </c>
      <c r="I26" s="227" t="str">
        <f>IF($AM$16=0,"Units?",IF($AM$16=1,"(ac):",IF($AM$16=2,"(sq-ft):","Error")))</f>
        <v>Units?</v>
      </c>
      <c r="J26" s="227"/>
      <c r="K26" s="2"/>
      <c r="L26" s="183"/>
      <c r="M26" s="183"/>
      <c r="N26" s="183"/>
      <c r="P26" s="183"/>
      <c r="Q26" s="183"/>
      <c r="R26" s="183"/>
      <c r="T26" s="183"/>
      <c r="U26" s="183"/>
      <c r="V26" s="183"/>
      <c r="W26" s="4"/>
      <c r="X26" s="183"/>
      <c r="Y26" s="183"/>
      <c r="Z26" s="183"/>
      <c r="AB26" s="183"/>
      <c r="AC26" s="183"/>
      <c r="AD26" s="183"/>
      <c r="AE26" s="4"/>
      <c r="AF26" s="185"/>
      <c r="AG26" s="185"/>
      <c r="AH26" s="185"/>
      <c r="AI26" s="4"/>
      <c r="AJ26" s="4"/>
      <c r="AV26" s="94">
        <f>AV22+1</f>
        <v>7</v>
      </c>
      <c r="AW26" s="28" t="s">
        <v>276</v>
      </c>
      <c r="AY26" s="86"/>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85"/>
    </row>
    <row r="27" spans="2:80" ht="13.95" customHeight="1" x14ac:dyDescent="0.3">
      <c r="I27" s="2"/>
      <c r="J27" s="2" t="s">
        <v>4</v>
      </c>
      <c r="K27" s="2"/>
      <c r="L27" s="190"/>
      <c r="M27" s="190"/>
      <c r="N27" s="190"/>
      <c r="P27" s="184"/>
      <c r="Q27" s="184"/>
      <c r="R27" s="184"/>
      <c r="S27" s="73"/>
      <c r="T27" s="184"/>
      <c r="U27" s="184"/>
      <c r="V27" s="184"/>
      <c r="W27" s="4"/>
      <c r="X27" s="184"/>
      <c r="Y27" s="184"/>
      <c r="Z27" s="184"/>
      <c r="AB27" s="184"/>
      <c r="AC27" s="184"/>
      <c r="AD27" s="184"/>
      <c r="AE27" s="4"/>
      <c r="AF27" s="126"/>
      <c r="AG27" s="126"/>
      <c r="AH27" s="126"/>
      <c r="AI27" s="4"/>
      <c r="AJ27" s="4"/>
      <c r="AV27" s="94"/>
      <c r="AW27" s="28" t="s">
        <v>340</v>
      </c>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26"/>
    </row>
    <row r="28" spans="2:80" ht="13.95" customHeight="1" x14ac:dyDescent="0.3">
      <c r="I28" s="2"/>
      <c r="J28" s="2" t="s">
        <v>51</v>
      </c>
      <c r="K28" s="2"/>
      <c r="L28" s="181"/>
      <c r="M28" s="181"/>
      <c r="N28" s="181"/>
      <c r="P28" s="179"/>
      <c r="Q28" s="179"/>
      <c r="R28" s="179"/>
      <c r="S28" s="33"/>
      <c r="T28" s="179"/>
      <c r="U28" s="179"/>
      <c r="V28" s="179"/>
      <c r="W28" s="4"/>
      <c r="X28" s="179"/>
      <c r="Y28" s="179"/>
      <c r="Z28" s="179"/>
      <c r="AB28" s="179"/>
      <c r="AC28" s="179"/>
      <c r="AD28" s="179"/>
      <c r="AE28" s="4"/>
      <c r="AF28" s="33"/>
      <c r="AG28" s="33"/>
      <c r="AH28" s="33"/>
      <c r="AI28" s="4"/>
      <c r="AJ28" s="4"/>
      <c r="AL28" s="98">
        <f>SUM(AL29:AL34)</f>
        <v>0</v>
      </c>
      <c r="AM28" s="96">
        <f>SUM(AM29:AM34)</f>
        <v>0</v>
      </c>
      <c r="AN28" s="13" t="s">
        <v>13</v>
      </c>
      <c r="AV28" s="94">
        <f>AV26+1</f>
        <v>8</v>
      </c>
      <c r="AW28" s="28" t="s">
        <v>603</v>
      </c>
      <c r="AY28" s="23"/>
      <c r="AZ28" s="26"/>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row>
    <row r="29" spans="2:80" ht="13.95" customHeight="1" x14ac:dyDescent="0.3">
      <c r="D29" s="211" t="s">
        <v>377</v>
      </c>
      <c r="E29" s="211"/>
      <c r="F29" s="210">
        <f>Tables!$F$16</f>
        <v>6.02</v>
      </c>
      <c r="G29" s="210"/>
      <c r="H29" s="33"/>
      <c r="J29" s="2" t="str">
        <f>Tables!$D$16</f>
        <v>(2-yr)</v>
      </c>
      <c r="K29" s="2"/>
      <c r="L29" s="185"/>
      <c r="M29" s="185"/>
      <c r="N29" s="185"/>
      <c r="P29" s="185"/>
      <c r="Q29" s="185"/>
      <c r="R29" s="185"/>
      <c r="S29" s="39"/>
      <c r="T29" s="185"/>
      <c r="U29" s="185"/>
      <c r="V29" s="185"/>
      <c r="W29" s="4"/>
      <c r="X29" s="185"/>
      <c r="Y29" s="185"/>
      <c r="Z29" s="185"/>
      <c r="AB29" s="185"/>
      <c r="AC29" s="185"/>
      <c r="AD29" s="185"/>
      <c r="AE29" s="4"/>
      <c r="AF29" s="185"/>
      <c r="AG29" s="185"/>
      <c r="AH29" s="185"/>
      <c r="AI29" s="4"/>
      <c r="AJ29" s="4"/>
      <c r="AL29" s="96">
        <f t="shared" ref="AL29:AL34" si="1">IF(AF29=0,0,1)</f>
        <v>0</v>
      </c>
      <c r="AM29" s="96">
        <f t="shared" ref="AM29:AM34" si="2">IF(ISBLANK(AF29),0,1)</f>
        <v>0</v>
      </c>
      <c r="AW29" s="28" t="s">
        <v>602</v>
      </c>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row>
    <row r="30" spans="2:80" ht="13.95" customHeight="1" x14ac:dyDescent="0.3">
      <c r="D30" s="211"/>
      <c r="E30" s="211"/>
      <c r="F30" s="210">
        <f>Tables!$F$17</f>
        <v>7.68</v>
      </c>
      <c r="G30" s="210"/>
      <c r="H30" s="33"/>
      <c r="J30" s="2" t="str">
        <f>Tables!$D$17</f>
        <v>(5-yr)</v>
      </c>
      <c r="K30" s="2"/>
      <c r="L30" s="185"/>
      <c r="M30" s="185"/>
      <c r="N30" s="185"/>
      <c r="P30" s="185"/>
      <c r="Q30" s="185"/>
      <c r="R30" s="185"/>
      <c r="S30" s="39"/>
      <c r="T30" s="183"/>
      <c r="U30" s="183"/>
      <c r="V30" s="183"/>
      <c r="W30" s="4"/>
      <c r="X30" s="183"/>
      <c r="Y30" s="183"/>
      <c r="Z30" s="183"/>
      <c r="AB30" s="183"/>
      <c r="AC30" s="183"/>
      <c r="AD30" s="183"/>
      <c r="AE30" s="4"/>
      <c r="AF30" s="183"/>
      <c r="AG30" s="183"/>
      <c r="AH30" s="183"/>
      <c r="AI30" s="4"/>
      <c r="AJ30" s="4"/>
      <c r="AL30" s="96">
        <f t="shared" si="1"/>
        <v>0</v>
      </c>
      <c r="AM30" s="96">
        <f t="shared" si="2"/>
        <v>0</v>
      </c>
      <c r="AV30" s="94">
        <f>AV28+1</f>
        <v>9</v>
      </c>
      <c r="AW30" s="28" t="s">
        <v>459</v>
      </c>
      <c r="CB30" s="67"/>
    </row>
    <row r="31" spans="2:80" ht="13.95" customHeight="1" x14ac:dyDescent="0.3">
      <c r="D31" s="211"/>
      <c r="E31" s="211"/>
      <c r="F31" s="210">
        <f>Tables!$F$18</f>
        <v>9.26</v>
      </c>
      <c r="G31" s="210"/>
      <c r="H31" s="33"/>
      <c r="J31" s="2" t="str">
        <f>Tables!$D$18</f>
        <v>(10-yr)</v>
      </c>
      <c r="K31" s="2"/>
      <c r="L31" s="185"/>
      <c r="M31" s="185"/>
      <c r="N31" s="185"/>
      <c r="P31" s="183"/>
      <c r="Q31" s="183"/>
      <c r="R31" s="183"/>
      <c r="S31" s="39"/>
      <c r="T31" s="183"/>
      <c r="U31" s="183"/>
      <c r="V31" s="183"/>
      <c r="W31" s="4"/>
      <c r="X31" s="183"/>
      <c r="Y31" s="183"/>
      <c r="Z31" s="183"/>
      <c r="AB31" s="183"/>
      <c r="AC31" s="183"/>
      <c r="AD31" s="183"/>
      <c r="AE31" s="4"/>
      <c r="AF31" s="183"/>
      <c r="AG31" s="183"/>
      <c r="AH31" s="183"/>
      <c r="AI31" s="4"/>
      <c r="AJ31" s="4"/>
      <c r="AL31" s="96">
        <f t="shared" si="1"/>
        <v>0</v>
      </c>
      <c r="AM31" s="96">
        <f t="shared" si="2"/>
        <v>0</v>
      </c>
      <c r="AW31" s="28" t="s">
        <v>460</v>
      </c>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75"/>
    </row>
    <row r="32" spans="2:80" ht="13.95" customHeight="1" x14ac:dyDescent="0.3">
      <c r="D32" s="211"/>
      <c r="E32" s="211"/>
      <c r="F32" s="210">
        <f>Tables!$F$19</f>
        <v>11.7</v>
      </c>
      <c r="G32" s="210"/>
      <c r="H32" s="33"/>
      <c r="J32" s="2" t="str">
        <f>Tables!$D$19</f>
        <v>(25-yr)</v>
      </c>
      <c r="K32" s="2"/>
      <c r="L32" s="185"/>
      <c r="M32" s="185"/>
      <c r="N32" s="185"/>
      <c r="P32" s="183"/>
      <c r="Q32" s="183"/>
      <c r="R32" s="183"/>
      <c r="S32" s="39"/>
      <c r="T32" s="183"/>
      <c r="U32" s="183"/>
      <c r="V32" s="183"/>
      <c r="W32" s="4"/>
      <c r="X32" s="183"/>
      <c r="Y32" s="183"/>
      <c r="Z32" s="183"/>
      <c r="AB32" s="183"/>
      <c r="AC32" s="183"/>
      <c r="AD32" s="183"/>
      <c r="AE32" s="4"/>
      <c r="AF32" s="183"/>
      <c r="AG32" s="183"/>
      <c r="AH32" s="183"/>
      <c r="AI32" s="4"/>
      <c r="AJ32" s="4"/>
      <c r="AL32" s="96">
        <f t="shared" si="1"/>
        <v>0</v>
      </c>
      <c r="AM32" s="96">
        <f t="shared" si="2"/>
        <v>0</v>
      </c>
      <c r="AW32" s="28" t="s">
        <v>461</v>
      </c>
      <c r="CB32" s="75"/>
    </row>
    <row r="33" spans="2:80" ht="13.95" customHeight="1" x14ac:dyDescent="0.3">
      <c r="D33" s="211"/>
      <c r="E33" s="211"/>
      <c r="F33" s="210">
        <f>Tables!$F$20</f>
        <v>13.9</v>
      </c>
      <c r="G33" s="210"/>
      <c r="H33" s="33"/>
      <c r="J33" s="2" t="str">
        <f>Tables!$D$20</f>
        <v>(50-yr)</v>
      </c>
      <c r="K33" s="2"/>
      <c r="L33" s="185"/>
      <c r="M33" s="185"/>
      <c r="N33" s="185"/>
      <c r="P33" s="183"/>
      <c r="Q33" s="183"/>
      <c r="R33" s="183"/>
      <c r="S33" s="39"/>
      <c r="T33" s="183"/>
      <c r="U33" s="183"/>
      <c r="V33" s="183"/>
      <c r="W33" s="4"/>
      <c r="X33" s="183"/>
      <c r="Y33" s="183"/>
      <c r="Z33" s="183"/>
      <c r="AB33" s="183"/>
      <c r="AC33" s="183"/>
      <c r="AD33" s="183"/>
      <c r="AE33" s="4"/>
      <c r="AF33" s="183"/>
      <c r="AG33" s="183"/>
      <c r="AH33" s="183"/>
      <c r="AI33" s="4"/>
      <c r="AJ33" s="4"/>
      <c r="AL33" s="96">
        <f t="shared" si="1"/>
        <v>0</v>
      </c>
      <c r="AM33" s="96">
        <f t="shared" si="2"/>
        <v>0</v>
      </c>
      <c r="AW33" s="28" t="s">
        <v>462</v>
      </c>
      <c r="CB33" s="75"/>
    </row>
    <row r="34" spans="2:80" ht="13.95" customHeight="1" x14ac:dyDescent="0.3">
      <c r="D34" s="211"/>
      <c r="E34" s="211"/>
      <c r="F34" s="210">
        <f>Tables!$F$21</f>
        <v>16.3</v>
      </c>
      <c r="G34" s="210"/>
      <c r="H34" s="33"/>
      <c r="J34" s="2" t="str">
        <f>Tables!$D$21</f>
        <v>(100-yr)</v>
      </c>
      <c r="K34" s="2"/>
      <c r="L34" s="185"/>
      <c r="M34" s="185"/>
      <c r="N34" s="185"/>
      <c r="P34" s="183"/>
      <c r="Q34" s="183"/>
      <c r="R34" s="183"/>
      <c r="S34" s="39"/>
      <c r="T34" s="183"/>
      <c r="U34" s="183"/>
      <c r="V34" s="183"/>
      <c r="W34" s="4"/>
      <c r="X34" s="183"/>
      <c r="Y34" s="183"/>
      <c r="Z34" s="183"/>
      <c r="AB34" s="183"/>
      <c r="AC34" s="183"/>
      <c r="AD34" s="183"/>
      <c r="AE34" s="4"/>
      <c r="AF34" s="183"/>
      <c r="AG34" s="183"/>
      <c r="AH34" s="183"/>
      <c r="AI34" s="4"/>
      <c r="AJ34" s="4"/>
      <c r="AL34" s="96">
        <f t="shared" si="1"/>
        <v>0</v>
      </c>
      <c r="AM34" s="96">
        <f t="shared" si="2"/>
        <v>0</v>
      </c>
      <c r="AW34" s="28" t="s">
        <v>463</v>
      </c>
      <c r="CB34" s="75"/>
    </row>
    <row r="35" spans="2:80" ht="15" customHeight="1" x14ac:dyDescent="0.3">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4"/>
      <c r="AL35" s="22"/>
      <c r="AM35" s="22"/>
      <c r="AV35" s="94">
        <f>AV30+1</f>
        <v>10</v>
      </c>
      <c r="AW35" s="28" t="s">
        <v>304</v>
      </c>
      <c r="AX35" s="86"/>
      <c r="CB35" s="75"/>
    </row>
    <row r="36" spans="2:80" ht="13.95" customHeight="1" x14ac:dyDescent="0.3">
      <c r="B36" s="1" t="s">
        <v>11</v>
      </c>
      <c r="C36" s="1"/>
      <c r="D36" s="1"/>
      <c r="E36" s="1"/>
      <c r="F36" s="1"/>
      <c r="G36" s="1"/>
      <c r="H36" s="1"/>
      <c r="I36" s="1"/>
      <c r="AV36" s="23">
        <f>AV35+1</f>
        <v>11</v>
      </c>
      <c r="AW36" s="28" t="s">
        <v>464</v>
      </c>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5"/>
    </row>
    <row r="37" spans="2:80" s="22" customFormat="1" ht="15" hidden="1" customHeight="1" x14ac:dyDescent="0.3">
      <c r="B37" s="138"/>
      <c r="C37" s="138"/>
      <c r="D37" s="138"/>
      <c r="E37" s="138"/>
      <c r="F37" s="138"/>
      <c r="G37" s="138"/>
      <c r="H37" s="138"/>
      <c r="I37" s="138"/>
      <c r="L37" s="96">
        <f>IF(ISBLANK(L38),1,2)</f>
        <v>1</v>
      </c>
      <c r="P37" s="96">
        <f>IF(ISBLANK(P38),1,2)</f>
        <v>1</v>
      </c>
      <c r="T37" s="96">
        <f>IF(ISBLANK(T38),1,2)</f>
        <v>1</v>
      </c>
      <c r="X37" s="96">
        <f>IF(ISBLANK(X38),1,2)</f>
        <v>1</v>
      </c>
      <c r="AB37" s="96">
        <f>IF(ISBLANK(AB38),1,2)</f>
        <v>1</v>
      </c>
      <c r="AU37" s="4"/>
    </row>
    <row r="38" spans="2:80" ht="13.95" customHeight="1" x14ac:dyDescent="0.3">
      <c r="I38" s="2"/>
      <c r="J38" s="2" t="s">
        <v>46</v>
      </c>
      <c r="K38" s="2"/>
      <c r="L38" s="186"/>
      <c r="M38" s="186"/>
      <c r="N38" s="186"/>
      <c r="P38" s="186"/>
      <c r="Q38" s="186"/>
      <c r="R38" s="186"/>
      <c r="S38" s="4"/>
      <c r="T38" s="186"/>
      <c r="U38" s="186"/>
      <c r="V38" s="186"/>
      <c r="W38" s="4"/>
      <c r="X38" s="186"/>
      <c r="Y38" s="186"/>
      <c r="Z38" s="186"/>
      <c r="AB38" s="186"/>
      <c r="AC38" s="186"/>
      <c r="AD38" s="186"/>
      <c r="AE38" s="4"/>
      <c r="AG38" s="4" t="s">
        <v>12</v>
      </c>
      <c r="AH38" s="4"/>
      <c r="AI38" s="4"/>
      <c r="AJ38" s="4"/>
      <c r="AV38" s="23">
        <f>AV36+1</f>
        <v>12</v>
      </c>
      <c r="AW38" s="28" t="s">
        <v>465</v>
      </c>
      <c r="AX38" s="8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75"/>
    </row>
    <row r="39" spans="2:80" ht="13.95" customHeight="1" x14ac:dyDescent="0.3">
      <c r="H39" s="2" t="s">
        <v>448</v>
      </c>
      <c r="I39" s="227" t="str">
        <f>IF($AM$16=0,"Units?",IF($AM$16=1,"(ac):",IF($AM$16=2,"(sq-ft):","Error")))</f>
        <v>Units?</v>
      </c>
      <c r="J39" s="227"/>
      <c r="K39" s="2"/>
      <c r="L39" s="185"/>
      <c r="M39" s="185"/>
      <c r="N39" s="185"/>
      <c r="P39" s="183"/>
      <c r="Q39" s="183"/>
      <c r="R39" s="183"/>
      <c r="S39" s="4"/>
      <c r="T39" s="183"/>
      <c r="U39" s="183"/>
      <c r="V39" s="183"/>
      <c r="W39" s="4"/>
      <c r="X39" s="183"/>
      <c r="Y39" s="183"/>
      <c r="Z39" s="183"/>
      <c r="AB39" s="183"/>
      <c r="AC39" s="183"/>
      <c r="AD39" s="183"/>
      <c r="AE39" s="4"/>
      <c r="AF39" s="185"/>
      <c r="AG39" s="185"/>
      <c r="AH39" s="185"/>
      <c r="AI39" s="4"/>
      <c r="AJ39" s="4"/>
      <c r="AV39" s="23"/>
      <c r="AX39" s="8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07"/>
    </row>
    <row r="40" spans="2:80" ht="13.95" customHeight="1" x14ac:dyDescent="0.3">
      <c r="I40" s="2"/>
      <c r="J40" s="2" t="s">
        <v>4</v>
      </c>
      <c r="K40" s="2"/>
      <c r="L40" s="190"/>
      <c r="M40" s="190"/>
      <c r="N40" s="190"/>
      <c r="P40" s="184"/>
      <c r="Q40" s="184"/>
      <c r="R40" s="184"/>
      <c r="S40" s="4"/>
      <c r="T40" s="184"/>
      <c r="U40" s="184"/>
      <c r="V40" s="184"/>
      <c r="W40" s="4"/>
      <c r="X40" s="184"/>
      <c r="Y40" s="184"/>
      <c r="Z40" s="184"/>
      <c r="AB40" s="184"/>
      <c r="AC40" s="184"/>
      <c r="AD40" s="184"/>
      <c r="AE40" s="4"/>
      <c r="AF40" s="126"/>
      <c r="AG40" s="126"/>
      <c r="AH40" s="126"/>
      <c r="AI40" s="4"/>
      <c r="AJ40" s="4"/>
      <c r="AX40" s="8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07"/>
    </row>
    <row r="41" spans="2:80" ht="13.95" customHeight="1" x14ac:dyDescent="0.3">
      <c r="I41" s="2"/>
      <c r="J41" s="2" t="s">
        <v>51</v>
      </c>
      <c r="K41" s="2"/>
      <c r="L41" s="181"/>
      <c r="M41" s="181"/>
      <c r="N41" s="181"/>
      <c r="P41" s="179"/>
      <c r="Q41" s="179"/>
      <c r="R41" s="179"/>
      <c r="S41" s="4"/>
      <c r="T41" s="179"/>
      <c r="U41" s="179"/>
      <c r="V41" s="179"/>
      <c r="W41" s="4"/>
      <c r="X41" s="179"/>
      <c r="Y41" s="179"/>
      <c r="Z41" s="179"/>
      <c r="AB41" s="179"/>
      <c r="AC41" s="179"/>
      <c r="AD41" s="179"/>
      <c r="AE41" s="4"/>
      <c r="AF41" s="33"/>
      <c r="AG41" s="33"/>
      <c r="AH41" s="33"/>
      <c r="AI41" s="4"/>
      <c r="AJ41" s="4"/>
      <c r="AL41" s="98">
        <f>SUM(AL42:AL47)</f>
        <v>0</v>
      </c>
      <c r="AM41" s="96">
        <f>SUM(AM42:AM47)</f>
        <v>0</v>
      </c>
      <c r="AN41" s="13" t="s">
        <v>12</v>
      </c>
      <c r="AX41" s="8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7"/>
    </row>
    <row r="42" spans="2:80" ht="13.95" customHeight="1" x14ac:dyDescent="0.3">
      <c r="D42" s="211" t="s">
        <v>377</v>
      </c>
      <c r="E42" s="211"/>
      <c r="F42" s="210">
        <f>Tables!$F$16</f>
        <v>6.02</v>
      </c>
      <c r="G42" s="210"/>
      <c r="H42" s="33"/>
      <c r="J42" s="2" t="str">
        <f>Tables!$D$16</f>
        <v>(2-yr)</v>
      </c>
      <c r="K42" s="2"/>
      <c r="L42" s="185"/>
      <c r="M42" s="185"/>
      <c r="N42" s="185"/>
      <c r="P42" s="185"/>
      <c r="Q42" s="185"/>
      <c r="R42" s="185"/>
      <c r="S42" s="4"/>
      <c r="T42" s="185"/>
      <c r="U42" s="185"/>
      <c r="V42" s="185"/>
      <c r="W42" s="4"/>
      <c r="X42" s="185"/>
      <c r="Y42" s="185"/>
      <c r="Z42" s="185"/>
      <c r="AB42" s="185"/>
      <c r="AC42" s="185"/>
      <c r="AD42" s="185"/>
      <c r="AE42" s="4"/>
      <c r="AF42" s="185"/>
      <c r="AG42" s="185"/>
      <c r="AH42" s="185"/>
      <c r="AI42" s="4"/>
      <c r="AJ42" s="4"/>
      <c r="AL42" s="96">
        <f t="shared" ref="AL42:AL47" si="3">IF(AF42=0,0,1)</f>
        <v>0</v>
      </c>
      <c r="AM42" s="96">
        <f t="shared" ref="AM42:AM47" si="4">IF(ISBLANK(AF42),0,1)</f>
        <v>0</v>
      </c>
      <c r="AX42" s="92"/>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7"/>
    </row>
    <row r="43" spans="2:80" ht="13.95" customHeight="1" x14ac:dyDescent="0.3">
      <c r="D43" s="211"/>
      <c r="E43" s="211"/>
      <c r="F43" s="210">
        <f>Tables!$F$17</f>
        <v>7.68</v>
      </c>
      <c r="G43" s="210"/>
      <c r="H43" s="33"/>
      <c r="J43" s="2" t="str">
        <f>Tables!$D$17</f>
        <v>(5-yr)</v>
      </c>
      <c r="K43" s="2"/>
      <c r="L43" s="185"/>
      <c r="M43" s="185"/>
      <c r="N43" s="185"/>
      <c r="P43" s="183"/>
      <c r="Q43" s="183"/>
      <c r="R43" s="183"/>
      <c r="S43" s="4"/>
      <c r="T43" s="183"/>
      <c r="U43" s="183"/>
      <c r="V43" s="183"/>
      <c r="W43" s="4"/>
      <c r="X43" s="183"/>
      <c r="Y43" s="183"/>
      <c r="Z43" s="183"/>
      <c r="AB43" s="183"/>
      <c r="AC43" s="183"/>
      <c r="AD43" s="183"/>
      <c r="AE43" s="4"/>
      <c r="AF43" s="183"/>
      <c r="AG43" s="183"/>
      <c r="AH43" s="183"/>
      <c r="AI43" s="4"/>
      <c r="AJ43" s="4"/>
      <c r="AL43" s="96">
        <f t="shared" si="3"/>
        <v>0</v>
      </c>
      <c r="AM43" s="96">
        <f t="shared" si="4"/>
        <v>0</v>
      </c>
      <c r="AV43" s="94">
        <f>AV38+1</f>
        <v>13</v>
      </c>
      <c r="AW43" s="28" t="s">
        <v>398</v>
      </c>
      <c r="AX43" s="8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7"/>
    </row>
    <row r="44" spans="2:80" ht="13.95" customHeight="1" x14ac:dyDescent="0.3">
      <c r="D44" s="211"/>
      <c r="E44" s="211"/>
      <c r="F44" s="210">
        <f>Tables!$F$18</f>
        <v>9.26</v>
      </c>
      <c r="G44" s="210"/>
      <c r="H44" s="33"/>
      <c r="J44" s="2" t="str">
        <f>Tables!$D$18</f>
        <v>(10-yr)</v>
      </c>
      <c r="K44" s="2"/>
      <c r="L44" s="185"/>
      <c r="M44" s="185"/>
      <c r="N44" s="185"/>
      <c r="P44" s="183"/>
      <c r="Q44" s="183"/>
      <c r="R44" s="183"/>
      <c r="S44" s="4"/>
      <c r="T44" s="183"/>
      <c r="U44" s="183"/>
      <c r="V44" s="183"/>
      <c r="W44" s="4"/>
      <c r="X44" s="183"/>
      <c r="Y44" s="183"/>
      <c r="Z44" s="183"/>
      <c r="AB44" s="183"/>
      <c r="AC44" s="183"/>
      <c r="AD44" s="183"/>
      <c r="AE44" s="4"/>
      <c r="AF44" s="183"/>
      <c r="AG44" s="183"/>
      <c r="AH44" s="183"/>
      <c r="AI44" s="4"/>
      <c r="AJ44" s="4"/>
      <c r="AL44" s="96">
        <f t="shared" si="3"/>
        <v>0</v>
      </c>
      <c r="AM44" s="96">
        <f t="shared" si="4"/>
        <v>0</v>
      </c>
      <c r="AW44" s="86"/>
      <c r="AX44" s="86"/>
      <c r="CB44" s="27"/>
    </row>
    <row r="45" spans="2:80" ht="13.95" customHeight="1" x14ac:dyDescent="0.3">
      <c r="D45" s="211"/>
      <c r="E45" s="211"/>
      <c r="F45" s="210">
        <f>Tables!$F$19</f>
        <v>11.7</v>
      </c>
      <c r="G45" s="210"/>
      <c r="H45" s="33"/>
      <c r="J45" s="2" t="str">
        <f>Tables!$D$19</f>
        <v>(25-yr)</v>
      </c>
      <c r="K45" s="2"/>
      <c r="L45" s="185"/>
      <c r="M45" s="185"/>
      <c r="N45" s="185"/>
      <c r="P45" s="183"/>
      <c r="Q45" s="183"/>
      <c r="R45" s="183"/>
      <c r="S45" s="4"/>
      <c r="T45" s="183"/>
      <c r="U45" s="183"/>
      <c r="V45" s="183"/>
      <c r="W45" s="4"/>
      <c r="X45" s="183"/>
      <c r="Y45" s="183"/>
      <c r="Z45" s="183"/>
      <c r="AB45" s="183"/>
      <c r="AC45" s="183"/>
      <c r="AD45" s="183"/>
      <c r="AE45" s="4"/>
      <c r="AF45" s="183"/>
      <c r="AG45" s="183"/>
      <c r="AH45" s="183"/>
      <c r="AI45" s="4"/>
      <c r="AJ45" s="4"/>
      <c r="AL45" s="96">
        <f t="shared" si="3"/>
        <v>0</v>
      </c>
      <c r="AM45" s="96">
        <f t="shared" si="4"/>
        <v>0</v>
      </c>
      <c r="AW45" s="86"/>
      <c r="AX45" s="8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7"/>
    </row>
    <row r="46" spans="2:80" ht="13.95" customHeight="1" x14ac:dyDescent="0.3">
      <c r="D46" s="211"/>
      <c r="E46" s="211"/>
      <c r="F46" s="210">
        <f>Tables!$F$20</f>
        <v>13.9</v>
      </c>
      <c r="G46" s="210"/>
      <c r="H46" s="33"/>
      <c r="J46" s="2" t="str">
        <f>Tables!$D$20</f>
        <v>(50-yr)</v>
      </c>
      <c r="K46" s="2"/>
      <c r="L46" s="185"/>
      <c r="M46" s="185"/>
      <c r="N46" s="185"/>
      <c r="P46" s="183"/>
      <c r="Q46" s="183"/>
      <c r="R46" s="183"/>
      <c r="S46" s="4"/>
      <c r="T46" s="183"/>
      <c r="U46" s="183"/>
      <c r="V46" s="183"/>
      <c r="W46" s="4"/>
      <c r="X46" s="183"/>
      <c r="Y46" s="183"/>
      <c r="Z46" s="183"/>
      <c r="AB46" s="183"/>
      <c r="AC46" s="183"/>
      <c r="AD46" s="183"/>
      <c r="AE46" s="4"/>
      <c r="AF46" s="183"/>
      <c r="AG46" s="183"/>
      <c r="AH46" s="183"/>
      <c r="AI46" s="4"/>
      <c r="AJ46" s="4"/>
      <c r="AL46" s="96">
        <f t="shared" si="3"/>
        <v>0</v>
      </c>
      <c r="AM46" s="96">
        <f t="shared" si="4"/>
        <v>0</v>
      </c>
      <c r="AW46" s="86"/>
      <c r="AX46" s="8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75"/>
    </row>
    <row r="47" spans="2:80" ht="13.95" customHeight="1" x14ac:dyDescent="0.3">
      <c r="D47" s="211"/>
      <c r="E47" s="211"/>
      <c r="F47" s="210">
        <f>Tables!$F$21</f>
        <v>16.3</v>
      </c>
      <c r="G47" s="210"/>
      <c r="H47" s="33"/>
      <c r="J47" s="2" t="str">
        <f>Tables!$D$21</f>
        <v>(100-yr)</v>
      </c>
      <c r="K47" s="2"/>
      <c r="L47" s="185"/>
      <c r="M47" s="185"/>
      <c r="N47" s="185"/>
      <c r="P47" s="183"/>
      <c r="Q47" s="183"/>
      <c r="R47" s="183"/>
      <c r="S47" s="4"/>
      <c r="T47" s="183"/>
      <c r="U47" s="183"/>
      <c r="V47" s="183"/>
      <c r="W47" s="4"/>
      <c r="X47" s="183"/>
      <c r="Y47" s="183"/>
      <c r="Z47" s="183"/>
      <c r="AB47" s="183"/>
      <c r="AC47" s="183"/>
      <c r="AD47" s="183"/>
      <c r="AE47" s="4"/>
      <c r="AF47" s="183"/>
      <c r="AG47" s="183"/>
      <c r="AH47" s="183"/>
      <c r="AI47" s="4"/>
      <c r="AJ47" s="4"/>
      <c r="AL47" s="96">
        <f t="shared" si="3"/>
        <v>0</v>
      </c>
      <c r="AM47" s="96">
        <f t="shared" si="4"/>
        <v>0</v>
      </c>
      <c r="AW47" s="86"/>
      <c r="AX47" s="86"/>
    </row>
    <row r="48" spans="2:80" ht="14.55" customHeight="1" x14ac:dyDescent="0.3">
      <c r="AK48" s="33"/>
      <c r="AW48" s="86"/>
      <c r="AX48" s="86"/>
    </row>
    <row r="49" spans="2:80" ht="14.55" customHeight="1" x14ac:dyDescent="0.3">
      <c r="AW49" s="86"/>
      <c r="AX49" s="86"/>
    </row>
    <row r="50" spans="2:80" ht="14.55" customHeight="1" x14ac:dyDescent="0.3">
      <c r="AW50" s="86"/>
      <c r="AX50" s="86"/>
    </row>
    <row r="51" spans="2:80" ht="14.55" customHeight="1" x14ac:dyDescent="0.3">
      <c r="AW51" s="86"/>
      <c r="AX51" s="86"/>
    </row>
    <row r="52" spans="2:80" ht="14.55" customHeight="1" x14ac:dyDescent="0.3">
      <c r="AW52" s="86"/>
      <c r="AX52" s="86"/>
    </row>
    <row r="53" spans="2:80" ht="14.55" customHeight="1" x14ac:dyDescent="0.3">
      <c r="J53" s="2"/>
      <c r="K53" s="110"/>
      <c r="N53" s="110"/>
      <c r="V53" s="2"/>
      <c r="W53" s="110"/>
      <c r="Z53" s="110"/>
      <c r="AW53" s="86"/>
      <c r="AX53" s="86"/>
    </row>
    <row r="54" spans="2:80" ht="14.55" customHeight="1" x14ac:dyDescent="0.3">
      <c r="B54" s="198">
        <f>Tables!$F$13</f>
        <v>45931</v>
      </c>
      <c r="C54" s="198"/>
      <c r="D54" s="198"/>
      <c r="E54" s="198"/>
      <c r="F54" s="198"/>
      <c r="G54" s="198"/>
      <c r="H54" s="198"/>
      <c r="R54" s="188" t="s">
        <v>310</v>
      </c>
      <c r="S54" s="188"/>
      <c r="T54" s="188"/>
      <c r="U54" s="188"/>
      <c r="AK54" s="33"/>
    </row>
    <row r="55" spans="2:80" ht="15" customHeight="1" x14ac:dyDescent="0.3">
      <c r="C55" s="2" t="s">
        <v>1</v>
      </c>
      <c r="D55" s="199">
        <f>IF(ISBLANK($E$7),0,$E$7)</f>
        <v>0</v>
      </c>
      <c r="E55" s="199"/>
      <c r="F55" s="199"/>
      <c r="G55" s="199"/>
      <c r="H55" s="199"/>
      <c r="I55" s="199"/>
      <c r="J55" s="199"/>
      <c r="K55" s="199"/>
      <c r="L55" s="199"/>
      <c r="M55" s="199"/>
      <c r="N55" s="199"/>
      <c r="O55" s="199"/>
      <c r="P55" s="199"/>
      <c r="Q55" s="199"/>
      <c r="R55" s="199"/>
      <c r="S55" s="199"/>
      <c r="T55" s="199"/>
      <c r="U55" s="199"/>
      <c r="V55" s="199"/>
      <c r="W55" s="199"/>
      <c r="X55" s="199"/>
      <c r="Y55" s="199"/>
      <c r="AD55" s="2" t="s">
        <v>19</v>
      </c>
      <c r="AE55" s="197">
        <f>IF(ISBLANK($AE$7),0,$AE$7)</f>
        <v>0</v>
      </c>
      <c r="AF55" s="197"/>
      <c r="AG55" s="197"/>
      <c r="AH55" s="197"/>
      <c r="AI55" s="197"/>
      <c r="AJ55" s="197"/>
      <c r="AW55" s="23"/>
      <c r="AX55" s="23"/>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7"/>
    </row>
    <row r="56" spans="2:80" ht="1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D56" s="2" t="s">
        <v>32</v>
      </c>
      <c r="AE56" s="196">
        <f>IF(ISBLANK($AE$8),0,$AE$8)</f>
        <v>0</v>
      </c>
      <c r="AF56" s="196"/>
      <c r="AG56" s="196"/>
      <c r="AH56" s="196"/>
      <c r="AI56" s="196"/>
      <c r="AJ56" s="196"/>
      <c r="AK56" s="2"/>
      <c r="AL56" s="72"/>
      <c r="AM56" s="72"/>
      <c r="AN56" s="72"/>
      <c r="AO56" s="72"/>
      <c r="AP56" s="72"/>
      <c r="AQ56" s="72"/>
      <c r="AR56" s="72"/>
      <c r="AS56" s="72"/>
      <c r="AT56" s="72"/>
      <c r="AU56" s="2"/>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7"/>
    </row>
    <row r="57" spans="2:80" ht="15" customHeight="1" x14ac:dyDescent="0.3">
      <c r="B57" s="1" t="s">
        <v>596</v>
      </c>
      <c r="C57" s="1"/>
      <c r="D57" s="1"/>
      <c r="E57" s="1"/>
      <c r="F57" s="1"/>
      <c r="G57" s="1"/>
      <c r="H57" s="1"/>
      <c r="K57" s="2"/>
      <c r="L57" s="2"/>
      <c r="M57" s="2"/>
      <c r="N57" s="2"/>
      <c r="O57" s="2"/>
      <c r="P57" s="2"/>
      <c r="Q57" s="2"/>
      <c r="R57" s="2"/>
      <c r="S57" s="2"/>
      <c r="T57" s="2"/>
      <c r="U57" s="2"/>
      <c r="V57" s="2"/>
      <c r="W57" s="2"/>
      <c r="X57" s="2"/>
      <c r="Y57" s="2"/>
      <c r="Z57" s="2"/>
      <c r="AA57" s="2"/>
      <c r="AB57" s="2"/>
      <c r="AF57" s="2"/>
      <c r="AG57" s="2"/>
      <c r="AH57" s="2"/>
      <c r="AI57" s="2"/>
      <c r="AJ57" s="2"/>
      <c r="AK57" s="2"/>
      <c r="AL57" s="72"/>
      <c r="AM57" s="72"/>
      <c r="AN57" s="72"/>
      <c r="AO57" s="72"/>
      <c r="AP57" s="72"/>
      <c r="AQ57" s="72"/>
      <c r="AR57" s="72"/>
      <c r="AS57" s="72"/>
      <c r="AT57" s="72"/>
      <c r="AU57" s="2"/>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7"/>
    </row>
    <row r="58" spans="2:80" ht="4.95" customHeight="1" x14ac:dyDescent="0.3">
      <c r="AK58" s="2"/>
      <c r="AN58" s="72"/>
      <c r="AO58" s="72"/>
      <c r="AP58" s="72"/>
      <c r="AQ58" s="72"/>
      <c r="AR58" s="72"/>
      <c r="AS58" s="72"/>
      <c r="AT58" s="72"/>
      <c r="AU58" s="2"/>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7"/>
    </row>
    <row r="59" spans="2:80" ht="15" customHeight="1" x14ac:dyDescent="0.3">
      <c r="I59" s="2" t="s">
        <v>477</v>
      </c>
      <c r="J59" s="62"/>
      <c r="K59" s="28" t="s">
        <v>208</v>
      </c>
      <c r="P59" s="62"/>
      <c r="Q59" s="28" t="s">
        <v>195</v>
      </c>
      <c r="AE59" s="2" t="s">
        <v>200</v>
      </c>
      <c r="AF59" s="181"/>
      <c r="AG59" s="181"/>
      <c r="AH59" s="181"/>
      <c r="AI59" s="28" t="s">
        <v>40</v>
      </c>
      <c r="AK59" s="2"/>
      <c r="AL59" s="96">
        <f>IF(AND(ISBLANK(J59),ISBLANK(P59)),1,2)</f>
        <v>1</v>
      </c>
      <c r="AM59" s="96">
        <f>IF(ISBLANK(P59),1,2)</f>
        <v>1</v>
      </c>
      <c r="AN59" s="72"/>
      <c r="AO59" s="72"/>
      <c r="AP59" s="72"/>
      <c r="AQ59" s="72"/>
      <c r="AR59" s="72"/>
      <c r="AS59" s="72"/>
      <c r="AT59" s="72"/>
      <c r="AU59" s="2"/>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7"/>
    </row>
    <row r="60" spans="2:80" ht="4.95" customHeight="1" x14ac:dyDescent="0.3">
      <c r="AK60" s="2"/>
      <c r="AN60" s="72"/>
      <c r="AO60" s="72"/>
      <c r="AP60" s="72"/>
      <c r="AQ60" s="72"/>
      <c r="AR60" s="72"/>
      <c r="AS60" s="72"/>
      <c r="AT60" s="72"/>
      <c r="AU60" s="2"/>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7"/>
    </row>
    <row r="61" spans="2:80" ht="15" customHeight="1" x14ac:dyDescent="0.3">
      <c r="I61" s="2" t="s">
        <v>478</v>
      </c>
      <c r="J61" s="62"/>
      <c r="K61" s="28" t="s">
        <v>196</v>
      </c>
      <c r="M61" s="62"/>
      <c r="N61" s="28" t="s">
        <v>197</v>
      </c>
      <c r="P61" s="62"/>
      <c r="Q61" s="28" t="s">
        <v>198</v>
      </c>
      <c r="S61" s="62"/>
      <c r="T61" s="28" t="s">
        <v>199</v>
      </c>
      <c r="AE61" s="2" t="s">
        <v>202</v>
      </c>
      <c r="AF61" s="62"/>
      <c r="AG61" s="28" t="s">
        <v>117</v>
      </c>
      <c r="AH61" s="2"/>
      <c r="AI61" s="62"/>
      <c r="AJ61" s="28" t="s">
        <v>118</v>
      </c>
      <c r="AK61" s="2"/>
      <c r="AL61" s="96">
        <f>IF(AND(ISBLANK(J61),ISBLANK(M61),ISBLANK(P61),ISBLANK(S61)),1,2)</f>
        <v>1</v>
      </c>
      <c r="AM61" s="96">
        <f>IF(AND(ISBLANK(AF61),ISBLANK(AI61)),1,2)</f>
        <v>1</v>
      </c>
      <c r="AN61" s="72"/>
      <c r="AO61" s="72"/>
      <c r="AP61" s="72"/>
      <c r="AQ61" s="72"/>
      <c r="AR61" s="72"/>
      <c r="AS61" s="72"/>
      <c r="AT61" s="72"/>
      <c r="AU61" s="2"/>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7"/>
    </row>
    <row r="62" spans="2:80" ht="4.95" customHeight="1" x14ac:dyDescent="0.3">
      <c r="AK62" s="2"/>
      <c r="AN62" s="72"/>
      <c r="AO62" s="72"/>
      <c r="AP62" s="72"/>
      <c r="AQ62" s="72"/>
      <c r="AR62" s="72"/>
      <c r="AS62" s="72"/>
      <c r="AT62" s="72"/>
      <c r="AU62" s="2"/>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7"/>
    </row>
    <row r="63" spans="2:80" ht="15" customHeight="1" x14ac:dyDescent="0.3">
      <c r="B63" s="62"/>
      <c r="C63" s="82" t="s">
        <v>479</v>
      </c>
      <c r="AE63" s="2" t="s">
        <v>201</v>
      </c>
      <c r="AF63" s="181"/>
      <c r="AG63" s="181"/>
      <c r="AH63" s="181"/>
      <c r="AI63" s="28" t="s">
        <v>203</v>
      </c>
      <c r="AK63" s="2"/>
      <c r="AL63" s="95"/>
      <c r="AN63" s="72"/>
      <c r="AO63" s="72"/>
      <c r="AP63" s="72"/>
      <c r="AQ63" s="72"/>
      <c r="AR63" s="72"/>
      <c r="AS63" s="72"/>
      <c r="AT63" s="72"/>
      <c r="AU63" s="2"/>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7"/>
    </row>
    <row r="64" spans="2:80" ht="4.95" customHeight="1" x14ac:dyDescent="0.3">
      <c r="AK64" s="2"/>
      <c r="AN64" s="72"/>
      <c r="AO64" s="72"/>
      <c r="AP64" s="72"/>
      <c r="AQ64" s="72"/>
      <c r="AR64" s="72"/>
      <c r="AS64" s="72"/>
      <c r="AT64" s="72"/>
      <c r="AU64" s="2"/>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7"/>
    </row>
    <row r="65" spans="2:80" ht="15" customHeight="1" x14ac:dyDescent="0.3">
      <c r="I65" s="2" t="s">
        <v>161</v>
      </c>
      <c r="J65" s="182"/>
      <c r="K65" s="182"/>
      <c r="L65" s="182"/>
      <c r="M65" s="182"/>
      <c r="R65" s="2" t="s">
        <v>162</v>
      </c>
      <c r="S65" s="182"/>
      <c r="T65" s="182"/>
      <c r="U65" s="182"/>
      <c r="Y65" s="2" t="s">
        <v>163</v>
      </c>
      <c r="Z65" s="189"/>
      <c r="AA65" s="189"/>
      <c r="AB65" s="189"/>
      <c r="AC65" s="28" t="s">
        <v>40</v>
      </c>
      <c r="AF65" s="2" t="s">
        <v>206</v>
      </c>
      <c r="AG65" s="185"/>
      <c r="AH65" s="185"/>
      <c r="AI65" s="185"/>
      <c r="AJ65" s="28" t="s">
        <v>40</v>
      </c>
      <c r="AK65" s="2"/>
      <c r="AL65" s="96">
        <f>IF(ISBLANK(B63),1,2)</f>
        <v>1</v>
      </c>
      <c r="AN65" s="96">
        <f>IF(AND(ISBLANK(B63),ISBLANK(B72)),1,2)</f>
        <v>1</v>
      </c>
      <c r="AQ65" s="72"/>
      <c r="AR65" s="72"/>
      <c r="AS65" s="72"/>
      <c r="AT65" s="72"/>
      <c r="AU65" s="2"/>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7"/>
    </row>
    <row r="66" spans="2:80" ht="15" customHeight="1" x14ac:dyDescent="0.3">
      <c r="I66" s="2" t="s">
        <v>214</v>
      </c>
      <c r="J66" s="187"/>
      <c r="K66" s="187"/>
      <c r="L66" s="187"/>
      <c r="M66" s="187"/>
      <c r="N66" s="28" t="s">
        <v>213</v>
      </c>
      <c r="R66" s="2" t="s">
        <v>160</v>
      </c>
      <c r="S66" s="183"/>
      <c r="T66" s="183"/>
      <c r="U66" s="183"/>
      <c r="V66" s="28" t="s">
        <v>39</v>
      </c>
      <c r="Y66" s="2" t="s">
        <v>159</v>
      </c>
      <c r="Z66" s="183"/>
      <c r="AA66" s="183"/>
      <c r="AB66" s="183"/>
      <c r="AC66" s="28" t="s">
        <v>40</v>
      </c>
      <c r="AF66" s="2" t="s">
        <v>205</v>
      </c>
      <c r="AG66" s="183"/>
      <c r="AH66" s="183"/>
      <c r="AI66" s="183"/>
      <c r="AJ66" s="28" t="s">
        <v>40</v>
      </c>
      <c r="AK66" s="2"/>
      <c r="AL66" s="96">
        <f>IF(ISBLANK(S66),1,2)</f>
        <v>1</v>
      </c>
      <c r="AM66" s="96">
        <f>IF(AND(ISBLANK(Z66),ISBLANK(AG66)),1,2)</f>
        <v>1</v>
      </c>
      <c r="AN66" s="72"/>
      <c r="AO66" s="72"/>
      <c r="AP66" s="72"/>
      <c r="AQ66" s="72"/>
      <c r="AR66" s="72"/>
      <c r="AS66" s="72"/>
      <c r="AT66" s="72"/>
      <c r="AU66" s="2"/>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7"/>
    </row>
    <row r="67" spans="2:80" ht="4.95" customHeight="1" x14ac:dyDescent="0.3">
      <c r="K67" s="2"/>
      <c r="W67" s="2"/>
      <c r="AE67" s="2"/>
      <c r="AK67" s="2"/>
      <c r="AN67" s="72"/>
      <c r="AO67" s="72"/>
      <c r="AP67" s="72"/>
      <c r="AQ67" s="72"/>
      <c r="AR67" s="72"/>
      <c r="AS67" s="72"/>
      <c r="AT67" s="72"/>
      <c r="AU67" s="2"/>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7"/>
    </row>
    <row r="68" spans="2:80" ht="15" customHeight="1" x14ac:dyDescent="0.3">
      <c r="C68" s="83" t="s">
        <v>319</v>
      </c>
      <c r="J68" s="62"/>
      <c r="K68" s="28" t="s">
        <v>305</v>
      </c>
      <c r="P68" s="2" t="s">
        <v>161</v>
      </c>
      <c r="Q68" s="182"/>
      <c r="R68" s="182"/>
      <c r="S68" s="182"/>
      <c r="T68" s="182"/>
      <c r="Y68" s="2" t="s">
        <v>160</v>
      </c>
      <c r="Z68" s="181"/>
      <c r="AA68" s="181"/>
      <c r="AB68" s="181"/>
      <c r="AC68" s="28" t="s">
        <v>39</v>
      </c>
      <c r="AK68" s="2"/>
      <c r="AL68" s="96">
        <f>IF(ISBLANK(J68),1,2)</f>
        <v>1</v>
      </c>
      <c r="AM68" s="96">
        <f>IF(ISBLANK(J68),1,2)</f>
        <v>1</v>
      </c>
      <c r="AN68" s="72"/>
      <c r="AO68" s="72"/>
      <c r="AP68" s="72"/>
      <c r="AQ68" s="72"/>
      <c r="AR68" s="72"/>
      <c r="AS68" s="72"/>
      <c r="AT68" s="72"/>
      <c r="AU68" s="2"/>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7"/>
    </row>
    <row r="69" spans="2:80" ht="15" customHeight="1" x14ac:dyDescent="0.3">
      <c r="P69" s="2" t="s">
        <v>320</v>
      </c>
      <c r="Q69" s="178"/>
      <c r="R69" s="178"/>
      <c r="S69" s="178"/>
      <c r="T69" s="28" t="s">
        <v>227</v>
      </c>
      <c r="AK69" s="2"/>
      <c r="AL69" s="96">
        <f>IF(ISBLANK(Q69),1,2)</f>
        <v>1</v>
      </c>
      <c r="AM69" s="96">
        <f>IF(AND(ISBLANK(AF69),ISBLANK(AI69)),1,2)</f>
        <v>1</v>
      </c>
      <c r="AN69" s="72"/>
      <c r="AO69" s="72"/>
      <c r="AP69" s="72"/>
      <c r="AQ69" s="72"/>
      <c r="AR69" s="72"/>
      <c r="AS69" s="72"/>
      <c r="AT69" s="72"/>
      <c r="AU69" s="2"/>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7"/>
    </row>
    <row r="70" spans="2:80" ht="15" customHeight="1" x14ac:dyDescent="0.3">
      <c r="C70" s="83" t="s">
        <v>229</v>
      </c>
      <c r="J70" s="62"/>
      <c r="K70" s="28" t="s">
        <v>305</v>
      </c>
      <c r="P70" s="2" t="s">
        <v>161</v>
      </c>
      <c r="Q70" s="182"/>
      <c r="R70" s="182"/>
      <c r="S70" s="182"/>
      <c r="T70" s="182"/>
      <c r="X70" s="2"/>
      <c r="Y70" s="2" t="s">
        <v>160</v>
      </c>
      <c r="Z70" s="181"/>
      <c r="AA70" s="181"/>
      <c r="AB70" s="181"/>
      <c r="AC70" s="28" t="s">
        <v>39</v>
      </c>
      <c r="AF70" s="2" t="s">
        <v>206</v>
      </c>
      <c r="AG70" s="181"/>
      <c r="AH70" s="181"/>
      <c r="AI70" s="181"/>
      <c r="AJ70" s="28" t="s">
        <v>40</v>
      </c>
      <c r="AL70" s="96">
        <f>IF(ISBLANK(J70),1,2)</f>
        <v>1</v>
      </c>
      <c r="AM70" s="96">
        <f>IF(ISBLANK(Z70),1,2)</f>
        <v>1</v>
      </c>
      <c r="AN70" s="72"/>
      <c r="AO70" s="72"/>
      <c r="AP70" s="72"/>
      <c r="AQ70" s="72"/>
      <c r="AR70" s="72"/>
      <c r="AS70" s="72"/>
      <c r="AT70" s="72"/>
      <c r="AU70" s="2"/>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7"/>
    </row>
    <row r="71" spans="2:80" ht="15" customHeight="1" x14ac:dyDescent="0.3">
      <c r="AN71" s="72"/>
      <c r="AO71" s="72"/>
      <c r="AP71" s="72"/>
      <c r="AQ71" s="72"/>
      <c r="AR71" s="72"/>
      <c r="AS71" s="72"/>
      <c r="AT71" s="72"/>
      <c r="AU71" s="2"/>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7"/>
    </row>
    <row r="72" spans="2:80" ht="15" customHeight="1" x14ac:dyDescent="0.3">
      <c r="B72" s="62"/>
      <c r="C72" s="82" t="s">
        <v>207</v>
      </c>
      <c r="K72" s="62"/>
      <c r="L72" s="28" t="s">
        <v>209</v>
      </c>
      <c r="O72" s="62"/>
      <c r="P72" s="28" t="s">
        <v>210</v>
      </c>
      <c r="T72" s="62"/>
      <c r="U72" s="28" t="s">
        <v>317</v>
      </c>
      <c r="Y72" s="62"/>
      <c r="Z72" s="28" t="s">
        <v>318</v>
      </c>
      <c r="AK72" s="2"/>
      <c r="AL72" s="96">
        <f>IF(ISBLANK(B72),1,2)</f>
        <v>1</v>
      </c>
      <c r="AM72" s="96">
        <f>IF(AND(ISBLANK(K72),ISBLANK(O72),ISBLANK(T72),ISBLANK(Y72),ISBLANK(Y74)),1,2)</f>
        <v>1</v>
      </c>
      <c r="AN72" s="72"/>
      <c r="AO72" s="72"/>
      <c r="AP72" s="72"/>
      <c r="AQ72" s="72"/>
      <c r="AR72" s="72"/>
      <c r="AS72" s="72"/>
      <c r="AT72" s="72"/>
      <c r="AU72" s="2"/>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7"/>
    </row>
    <row r="73" spans="2:80" ht="4.95" customHeight="1" x14ac:dyDescent="0.3">
      <c r="K73" s="2"/>
      <c r="O73" s="2"/>
      <c r="W73" s="2"/>
      <c r="AE73" s="2"/>
      <c r="AK73" s="2"/>
      <c r="AN73" s="72"/>
      <c r="AO73" s="72"/>
      <c r="AP73" s="72"/>
      <c r="AQ73" s="72"/>
      <c r="AR73" s="72"/>
      <c r="AS73" s="72"/>
      <c r="AT73" s="72"/>
      <c r="AU73" s="2"/>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7"/>
    </row>
    <row r="74" spans="2:80" ht="15" customHeight="1" x14ac:dyDescent="0.3">
      <c r="K74" s="2"/>
      <c r="O74" s="2"/>
      <c r="Y74" s="62"/>
      <c r="Z74" s="28" t="s">
        <v>211</v>
      </c>
      <c r="AB74" s="2"/>
      <c r="AC74" s="182"/>
      <c r="AD74" s="182"/>
      <c r="AE74" s="182"/>
      <c r="AF74" s="182"/>
      <c r="AG74" s="182"/>
      <c r="AH74" s="182"/>
      <c r="AI74" s="182"/>
      <c r="AJ74" s="182"/>
      <c r="AK74" s="2"/>
      <c r="AN74" s="96">
        <f>IF(ISBLANK(Y74),1,2)</f>
        <v>1</v>
      </c>
      <c r="AO74" s="72"/>
      <c r="AP74" s="72"/>
      <c r="AQ74" s="72"/>
      <c r="AR74" s="72"/>
      <c r="AS74" s="72"/>
      <c r="AT74" s="72"/>
      <c r="AU74" s="2"/>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7"/>
    </row>
    <row r="75" spans="2:80" ht="4.95" customHeight="1" x14ac:dyDescent="0.3">
      <c r="K75" s="2"/>
      <c r="O75" s="2"/>
      <c r="W75" s="2"/>
      <c r="AE75" s="2"/>
      <c r="AK75" s="2"/>
      <c r="AN75" s="72"/>
      <c r="AO75" s="72"/>
      <c r="AP75" s="72"/>
      <c r="AQ75" s="72"/>
      <c r="AR75" s="72"/>
      <c r="AS75" s="72"/>
      <c r="AT75" s="72"/>
      <c r="AU75" s="2"/>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7"/>
    </row>
    <row r="76" spans="2:80" ht="15" customHeight="1" x14ac:dyDescent="0.3">
      <c r="C76" s="83" t="s">
        <v>233</v>
      </c>
      <c r="J76" s="2" t="s">
        <v>212</v>
      </c>
      <c r="K76" s="182"/>
      <c r="L76" s="182"/>
      <c r="M76" s="182"/>
      <c r="N76" s="182"/>
      <c r="O76" s="182"/>
      <c r="R76" s="2" t="s">
        <v>205</v>
      </c>
      <c r="S76" s="181"/>
      <c r="T76" s="181"/>
      <c r="U76" s="181"/>
      <c r="V76" s="12" t="s">
        <v>39</v>
      </c>
      <c r="Y76" s="2" t="s">
        <v>159</v>
      </c>
      <c r="Z76" s="181"/>
      <c r="AA76" s="181"/>
      <c r="AB76" s="181"/>
      <c r="AC76" s="12" t="s">
        <v>39</v>
      </c>
      <c r="AE76" s="2"/>
      <c r="AF76" s="2" t="s">
        <v>163</v>
      </c>
      <c r="AG76" s="185"/>
      <c r="AH76" s="185"/>
      <c r="AI76" s="185"/>
      <c r="AJ76" s="28" t="s">
        <v>40</v>
      </c>
      <c r="AK76" s="2"/>
      <c r="AN76" s="72"/>
      <c r="AO76" s="72"/>
      <c r="AP76" s="72"/>
      <c r="AQ76" s="72"/>
      <c r="AR76" s="72"/>
      <c r="AS76" s="72"/>
      <c r="AT76" s="72"/>
      <c r="AU76" s="2"/>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7"/>
    </row>
    <row r="77" spans="2:80" ht="4.95" customHeight="1" x14ac:dyDescent="0.3">
      <c r="J77" s="2"/>
      <c r="K77" s="81"/>
      <c r="W77" s="2"/>
      <c r="X77" s="2"/>
      <c r="Y77" s="2"/>
      <c r="AE77" s="2"/>
      <c r="AK77" s="2"/>
      <c r="AN77" s="72"/>
      <c r="AO77" s="72"/>
      <c r="AP77" s="72"/>
      <c r="AQ77" s="72"/>
      <c r="AR77" s="72"/>
      <c r="AS77" s="72"/>
      <c r="AT77" s="72"/>
      <c r="AU77" s="2"/>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7"/>
    </row>
    <row r="78" spans="2:80" ht="15" customHeight="1" x14ac:dyDescent="0.3">
      <c r="G78" s="2" t="s">
        <v>215</v>
      </c>
      <c r="H78" s="62"/>
      <c r="I78" s="28" t="s">
        <v>117</v>
      </c>
      <c r="J78" s="2"/>
      <c r="K78" s="62"/>
      <c r="L78" s="28" t="s">
        <v>118</v>
      </c>
      <c r="O78" s="2" t="s">
        <v>212</v>
      </c>
      <c r="P78" s="182"/>
      <c r="Q78" s="182"/>
      <c r="R78" s="182"/>
      <c r="S78" s="182"/>
      <c r="T78" s="182"/>
      <c r="W78" s="2"/>
      <c r="X78" s="2"/>
      <c r="Y78" s="2"/>
      <c r="AK78" s="2"/>
      <c r="AL78" s="96">
        <f>IF(AND(ISBLANK(H78),ISBLANK(K78)),1,2)</f>
        <v>1</v>
      </c>
      <c r="AM78" s="96">
        <f>IF(ISBLANK(H78),1,2)</f>
        <v>1</v>
      </c>
      <c r="AN78" s="72"/>
      <c r="AO78" s="72"/>
      <c r="AP78" s="72"/>
      <c r="AQ78" s="72"/>
      <c r="AR78" s="72"/>
      <c r="AS78" s="72"/>
      <c r="AT78" s="72"/>
      <c r="AU78" s="2"/>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7"/>
    </row>
    <row r="79" spans="2:80" ht="4.95" customHeight="1" x14ac:dyDescent="0.3">
      <c r="G79" s="2"/>
      <c r="H79" s="2"/>
      <c r="I79" s="2"/>
      <c r="J79" s="2"/>
      <c r="K79" s="2"/>
      <c r="L79" s="2"/>
      <c r="W79" s="2"/>
      <c r="X79" s="2"/>
      <c r="Y79" s="2"/>
      <c r="AK79" s="2"/>
      <c r="AN79" s="72"/>
      <c r="AO79" s="72"/>
      <c r="AP79" s="72"/>
      <c r="AQ79" s="72"/>
      <c r="AR79" s="72"/>
      <c r="AS79" s="72"/>
      <c r="AT79" s="72"/>
      <c r="AU79" s="2"/>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7"/>
    </row>
    <row r="80" spans="2:80" ht="15" customHeight="1" x14ac:dyDescent="0.3">
      <c r="G80" s="2" t="s">
        <v>216</v>
      </c>
      <c r="H80" s="62"/>
      <c r="I80" s="28" t="s">
        <v>117</v>
      </c>
      <c r="K80" s="62"/>
      <c r="L80" s="28" t="s">
        <v>118</v>
      </c>
      <c r="O80" s="2" t="s">
        <v>212</v>
      </c>
      <c r="P80" s="182"/>
      <c r="Q80" s="182"/>
      <c r="R80" s="182"/>
      <c r="S80" s="182"/>
      <c r="T80" s="182"/>
      <c r="W80" s="2"/>
      <c r="X80" s="2"/>
      <c r="Y80" s="2"/>
      <c r="AK80" s="2"/>
      <c r="AL80" s="96">
        <f>IF(AND(ISBLANK(H80),ISBLANK(K80)),1,2)</f>
        <v>1</v>
      </c>
      <c r="AM80" s="96">
        <f>IF(ISBLANK(H80),1,2)</f>
        <v>1</v>
      </c>
      <c r="AN80" s="72"/>
      <c r="AO80" s="72"/>
      <c r="AP80" s="72"/>
      <c r="AQ80" s="72"/>
      <c r="AR80" s="72"/>
      <c r="AS80" s="72"/>
      <c r="AT80" s="72"/>
      <c r="AU80" s="2"/>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7"/>
    </row>
    <row r="81" spans="3:80" ht="4.95" customHeight="1" x14ac:dyDescent="0.3">
      <c r="AN81" s="72"/>
      <c r="AO81" s="72"/>
      <c r="AP81" s="72"/>
      <c r="AQ81" s="72"/>
      <c r="AR81" s="72"/>
      <c r="AS81" s="72"/>
      <c r="AT81" s="72"/>
      <c r="AU81" s="2"/>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7"/>
    </row>
    <row r="82" spans="3:80" ht="15" customHeight="1" x14ac:dyDescent="0.3">
      <c r="C82" s="83" t="s">
        <v>232</v>
      </c>
      <c r="N82" s="4" t="s">
        <v>222</v>
      </c>
      <c r="R82" s="188" t="s">
        <v>223</v>
      </c>
      <c r="S82" s="188"/>
      <c r="T82" s="188"/>
      <c r="W82" s="188" t="s">
        <v>224</v>
      </c>
      <c r="X82" s="188"/>
      <c r="Y82" s="188"/>
      <c r="AN82" s="72"/>
      <c r="AO82" s="72"/>
      <c r="AP82" s="72"/>
      <c r="AQ82" s="72"/>
      <c r="AR82" s="72"/>
      <c r="AS82" s="72"/>
      <c r="AT82" s="72"/>
      <c r="AU82" s="2"/>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7"/>
    </row>
    <row r="83" spans="3:80" ht="15" customHeight="1" x14ac:dyDescent="0.3">
      <c r="L83" s="2" t="s">
        <v>217</v>
      </c>
      <c r="M83" s="181"/>
      <c r="N83" s="181"/>
      <c r="O83" s="181"/>
      <c r="P83" s="28" t="s">
        <v>39</v>
      </c>
      <c r="R83" s="181"/>
      <c r="S83" s="181"/>
      <c r="T83" s="181"/>
      <c r="U83" s="28" t="s">
        <v>40</v>
      </c>
      <c r="W83" s="181"/>
      <c r="X83" s="181"/>
      <c r="Y83" s="181"/>
      <c r="Z83" s="28" t="s">
        <v>40</v>
      </c>
      <c r="AN83" s="72"/>
      <c r="AO83" s="72"/>
      <c r="AP83" s="72"/>
      <c r="AQ83" s="72"/>
      <c r="AR83" s="72"/>
      <c r="AS83" s="72"/>
      <c r="AT83" s="72"/>
      <c r="AU83" s="2"/>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7"/>
    </row>
    <row r="84" spans="3:80" ht="15" customHeight="1" x14ac:dyDescent="0.3">
      <c r="L84" s="2" t="s">
        <v>218</v>
      </c>
      <c r="M84" s="179"/>
      <c r="N84" s="179"/>
      <c r="O84" s="179"/>
      <c r="P84" s="28" t="s">
        <v>39</v>
      </c>
      <c r="R84" s="179"/>
      <c r="S84" s="179"/>
      <c r="T84" s="179"/>
      <c r="U84" s="28" t="s">
        <v>40</v>
      </c>
      <c r="W84" s="179"/>
      <c r="X84" s="179"/>
      <c r="Y84" s="179"/>
      <c r="Z84" s="28" t="s">
        <v>40</v>
      </c>
      <c r="AN84" s="72"/>
      <c r="AO84" s="72"/>
      <c r="AP84" s="72"/>
      <c r="AQ84" s="72"/>
      <c r="AR84" s="72"/>
      <c r="AS84" s="72"/>
      <c r="AT84" s="72"/>
      <c r="AU84" s="2"/>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7"/>
    </row>
    <row r="85" spans="3:80" ht="15" customHeight="1" x14ac:dyDescent="0.3">
      <c r="L85" s="2" t="s">
        <v>219</v>
      </c>
      <c r="M85" s="179"/>
      <c r="N85" s="179"/>
      <c r="O85" s="179"/>
      <c r="P85" s="28" t="s">
        <v>39</v>
      </c>
      <c r="R85" s="179"/>
      <c r="S85" s="179"/>
      <c r="T85" s="179"/>
      <c r="U85" s="28" t="s">
        <v>40</v>
      </c>
      <c r="W85" s="179"/>
      <c r="X85" s="179"/>
      <c r="Y85" s="179"/>
      <c r="Z85" s="28" t="s">
        <v>40</v>
      </c>
      <c r="AN85" s="72"/>
      <c r="AO85" s="72"/>
      <c r="AP85" s="72"/>
      <c r="AQ85" s="72"/>
      <c r="AR85" s="72"/>
      <c r="AS85" s="72"/>
      <c r="AT85" s="72"/>
      <c r="AU85" s="2"/>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7"/>
    </row>
    <row r="86" spans="3:80" ht="15" customHeight="1" x14ac:dyDescent="0.3">
      <c r="L86" s="2" t="s">
        <v>220</v>
      </c>
      <c r="M86" s="179"/>
      <c r="N86" s="179"/>
      <c r="O86" s="179"/>
      <c r="P86" s="28" t="s">
        <v>39</v>
      </c>
      <c r="R86" s="179"/>
      <c r="S86" s="179"/>
      <c r="T86" s="179"/>
      <c r="U86" s="28" t="s">
        <v>40</v>
      </c>
      <c r="W86" s="179"/>
      <c r="X86" s="179"/>
      <c r="Y86" s="179"/>
      <c r="Z86" s="28" t="s">
        <v>40</v>
      </c>
      <c r="AN86" s="72"/>
      <c r="AO86" s="72"/>
      <c r="AP86" s="72"/>
      <c r="AQ86" s="72"/>
      <c r="AR86" s="72"/>
      <c r="AS86" s="72"/>
      <c r="AT86" s="72"/>
      <c r="AU86" s="2"/>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7"/>
    </row>
    <row r="87" spans="3:80" ht="15" customHeight="1" x14ac:dyDescent="0.3">
      <c r="L87" s="2" t="s">
        <v>221</v>
      </c>
      <c r="M87" s="179"/>
      <c r="N87" s="179"/>
      <c r="O87" s="179"/>
      <c r="P87" s="28" t="s">
        <v>39</v>
      </c>
      <c r="R87" s="179"/>
      <c r="S87" s="179"/>
      <c r="T87" s="179"/>
      <c r="U87" s="28" t="s">
        <v>40</v>
      </c>
      <c r="W87" s="179"/>
      <c r="X87" s="179"/>
      <c r="Y87" s="179"/>
      <c r="Z87" s="28" t="s">
        <v>40</v>
      </c>
      <c r="AN87" s="72"/>
      <c r="AO87" s="72"/>
      <c r="AP87" s="72"/>
      <c r="AQ87" s="72"/>
      <c r="AR87" s="72"/>
      <c r="AS87" s="72"/>
      <c r="AT87" s="72"/>
      <c r="AU87" s="2"/>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7"/>
    </row>
    <row r="88" spans="3:80" ht="4.95" customHeight="1" x14ac:dyDescent="0.3">
      <c r="AN88" s="72"/>
      <c r="AO88" s="72"/>
      <c r="AP88" s="72"/>
      <c r="AQ88" s="72"/>
      <c r="AR88" s="72"/>
      <c r="AS88" s="72"/>
      <c r="AT88" s="72"/>
      <c r="AU88" s="2"/>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7"/>
    </row>
    <row r="89" spans="3:80" ht="15" customHeight="1" x14ac:dyDescent="0.3">
      <c r="C89" s="83" t="s">
        <v>231</v>
      </c>
      <c r="M89" s="188" t="s">
        <v>226</v>
      </c>
      <c r="N89" s="188"/>
      <c r="O89" s="188"/>
      <c r="Q89" s="188" t="s">
        <v>322</v>
      </c>
      <c r="R89" s="188"/>
      <c r="S89" s="188"/>
      <c r="T89" s="188"/>
      <c r="U89" s="188"/>
      <c r="V89" s="188" t="s">
        <v>321</v>
      </c>
      <c r="W89" s="188"/>
      <c r="X89" s="188"/>
      <c r="Y89" s="188"/>
      <c r="Z89" s="188"/>
      <c r="AB89" s="188" t="s">
        <v>38</v>
      </c>
      <c r="AC89" s="188"/>
      <c r="AD89" s="188"/>
      <c r="AN89" s="72"/>
      <c r="AO89" s="72"/>
      <c r="AP89" s="72"/>
      <c r="AQ89" s="72"/>
      <c r="AR89" s="72"/>
      <c r="AS89" s="72"/>
      <c r="AT89" s="72"/>
      <c r="AU89" s="2"/>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7"/>
    </row>
    <row r="90" spans="3:80" ht="15" customHeight="1" x14ac:dyDescent="0.3">
      <c r="L90" s="2" t="s">
        <v>323</v>
      </c>
      <c r="M90" s="190"/>
      <c r="N90" s="190"/>
      <c r="O90" s="190"/>
      <c r="P90" s="28" t="s">
        <v>227</v>
      </c>
      <c r="R90" s="189"/>
      <c r="S90" s="189"/>
      <c r="T90" s="189"/>
      <c r="U90" s="28" t="s">
        <v>40</v>
      </c>
      <c r="W90" s="189"/>
      <c r="X90" s="189"/>
      <c r="Y90" s="189"/>
      <c r="Z90" s="28" t="s">
        <v>213</v>
      </c>
      <c r="AB90" s="181"/>
      <c r="AC90" s="181"/>
      <c r="AD90" s="181"/>
      <c r="AE90" s="28" t="s">
        <v>40</v>
      </c>
      <c r="AN90" s="72"/>
      <c r="AO90" s="72"/>
      <c r="AP90" s="72"/>
      <c r="AQ90" s="72"/>
      <c r="AR90" s="72"/>
      <c r="AS90" s="72"/>
      <c r="AT90" s="72"/>
      <c r="AU90" s="2"/>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7"/>
    </row>
    <row r="91" spans="3:80" ht="15" customHeight="1" x14ac:dyDescent="0.3">
      <c r="L91" s="2" t="s">
        <v>324</v>
      </c>
      <c r="M91" s="184"/>
      <c r="N91" s="184"/>
      <c r="O91" s="184"/>
      <c r="P91" s="28" t="s">
        <v>227</v>
      </c>
      <c r="R91" s="187"/>
      <c r="S91" s="187"/>
      <c r="T91" s="187"/>
      <c r="U91" s="28" t="s">
        <v>40</v>
      </c>
      <c r="W91" s="187"/>
      <c r="X91" s="187"/>
      <c r="Y91" s="187"/>
      <c r="Z91" s="28" t="s">
        <v>213</v>
      </c>
      <c r="AB91" s="179"/>
      <c r="AC91" s="179"/>
      <c r="AD91" s="179"/>
      <c r="AE91" s="28" t="s">
        <v>40</v>
      </c>
      <c r="AN91" s="72"/>
      <c r="AO91" s="72"/>
      <c r="AP91" s="72"/>
      <c r="AQ91" s="72"/>
      <c r="AR91" s="72"/>
      <c r="AS91" s="72"/>
      <c r="AT91" s="72"/>
      <c r="AU91" s="2"/>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7"/>
    </row>
    <row r="92" spans="3:80" ht="15" customHeight="1" x14ac:dyDescent="0.3">
      <c r="V92" s="2" t="s">
        <v>327</v>
      </c>
      <c r="W92" s="187"/>
      <c r="X92" s="187"/>
      <c r="Y92" s="187"/>
      <c r="Z92" s="28" t="s">
        <v>213</v>
      </c>
      <c r="AN92" s="72"/>
      <c r="AO92" s="72"/>
      <c r="AP92" s="72"/>
      <c r="AQ92" s="72"/>
      <c r="AR92" s="72"/>
      <c r="AS92" s="72"/>
      <c r="AT92" s="72"/>
      <c r="AU92" s="2"/>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7"/>
    </row>
    <row r="93" spans="3:80" ht="15" customHeight="1" x14ac:dyDescent="0.3">
      <c r="V93" s="2" t="s">
        <v>325</v>
      </c>
      <c r="W93" s="206">
        <f>SUM(W90:Y92)</f>
        <v>0</v>
      </c>
      <c r="X93" s="206"/>
      <c r="Y93" s="206"/>
      <c r="Z93" s="28" t="s">
        <v>213</v>
      </c>
      <c r="AN93" s="72"/>
      <c r="AO93" s="72"/>
      <c r="AP93" s="72"/>
      <c r="AQ93" s="72"/>
      <c r="AR93" s="72"/>
      <c r="AS93" s="72"/>
      <c r="AT93" s="72"/>
      <c r="AU93" s="2"/>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7"/>
    </row>
    <row r="94" spans="3:80" ht="15" customHeight="1" x14ac:dyDescent="0.3">
      <c r="N94" s="2" t="s">
        <v>388</v>
      </c>
      <c r="O94" s="178"/>
      <c r="P94" s="178"/>
      <c r="Q94" s="178"/>
      <c r="R94" s="28" t="s">
        <v>227</v>
      </c>
      <c r="AN94" s="72"/>
      <c r="AO94" s="72"/>
      <c r="AP94" s="72"/>
      <c r="AQ94" s="72"/>
      <c r="AR94" s="72"/>
      <c r="AS94" s="72"/>
      <c r="AT94" s="72"/>
      <c r="AU94" s="2"/>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7"/>
    </row>
    <row r="95" spans="3:80" ht="15" customHeight="1" x14ac:dyDescent="0.3">
      <c r="K95" s="188" t="s">
        <v>389</v>
      </c>
      <c r="L95" s="188"/>
      <c r="M95" s="188"/>
      <c r="P95" s="4" t="s">
        <v>390</v>
      </c>
      <c r="U95" s="4" t="s">
        <v>228</v>
      </c>
      <c r="Z95" s="4" t="s">
        <v>38</v>
      </c>
      <c r="AE95" s="4" t="s">
        <v>224</v>
      </c>
      <c r="AN95" s="72"/>
      <c r="AO95" s="72"/>
      <c r="AP95" s="72"/>
      <c r="AQ95" s="72"/>
      <c r="AR95" s="72"/>
      <c r="AS95" s="72"/>
      <c r="AT95" s="72"/>
      <c r="AU95" s="2"/>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7"/>
    </row>
    <row r="96" spans="3:80" ht="15" customHeight="1" x14ac:dyDescent="0.3">
      <c r="J96" s="2" t="s">
        <v>225</v>
      </c>
      <c r="K96" s="186"/>
      <c r="L96" s="186"/>
      <c r="M96" s="186"/>
      <c r="O96" s="181"/>
      <c r="P96" s="181"/>
      <c r="Q96" s="181"/>
      <c r="R96" s="28" t="s">
        <v>39</v>
      </c>
      <c r="T96" s="181"/>
      <c r="U96" s="181"/>
      <c r="V96" s="181"/>
      <c r="W96" s="28" t="s">
        <v>40</v>
      </c>
      <c r="Y96" s="181"/>
      <c r="Z96" s="181"/>
      <c r="AA96" s="181"/>
      <c r="AB96" s="28" t="s">
        <v>40</v>
      </c>
      <c r="AD96" s="181"/>
      <c r="AE96" s="181"/>
      <c r="AF96" s="181"/>
      <c r="AG96" s="28" t="s">
        <v>40</v>
      </c>
      <c r="AL96" s="96">
        <v>1</v>
      </c>
      <c r="AM96" s="96">
        <f>IF(AL96&lt;=$O$94,2,1)</f>
        <v>1</v>
      </c>
      <c r="AN96" s="96">
        <f>IF(ISBLANK(K96),1,2)</f>
        <v>1</v>
      </c>
      <c r="AO96" s="72"/>
      <c r="AP96" s="72"/>
      <c r="AQ96" s="72"/>
      <c r="AR96" s="72"/>
      <c r="AS96" s="72"/>
      <c r="AT96" s="72"/>
      <c r="AU96" s="2"/>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7"/>
    </row>
    <row r="97" spans="2:80" ht="4.95" customHeight="1" x14ac:dyDescent="0.3">
      <c r="AL97" s="72"/>
      <c r="AM97" s="72"/>
      <c r="AN97" s="72"/>
      <c r="AO97" s="72"/>
      <c r="AP97" s="72"/>
      <c r="AQ97" s="72"/>
      <c r="AR97" s="72"/>
      <c r="AS97" s="72"/>
      <c r="AT97" s="72"/>
      <c r="AU97" s="2"/>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7"/>
    </row>
    <row r="98" spans="2:80" ht="15" customHeight="1" x14ac:dyDescent="0.3">
      <c r="J98" s="2" t="s">
        <v>391</v>
      </c>
      <c r="K98" s="113"/>
      <c r="L98" s="28" t="s">
        <v>117</v>
      </c>
      <c r="N98" s="113"/>
      <c r="O98" s="28" t="s">
        <v>118</v>
      </c>
      <c r="T98" s="178"/>
      <c r="U98" s="178"/>
      <c r="V98" s="178"/>
      <c r="W98" s="28" t="s">
        <v>39</v>
      </c>
      <c r="Y98" s="181"/>
      <c r="Z98" s="181"/>
      <c r="AA98" s="181"/>
      <c r="AB98" s="28" t="s">
        <v>40</v>
      </c>
      <c r="AL98" s="96">
        <f>IF(AND(ISBLANK(K98),ISBLANK(N98)),1,2)</f>
        <v>1</v>
      </c>
      <c r="AM98" s="96">
        <f>IF(ISBLANK(K98),1,2)</f>
        <v>1</v>
      </c>
      <c r="AN98" s="96"/>
      <c r="AO98" s="72"/>
      <c r="AP98" s="72"/>
      <c r="AQ98" s="72"/>
      <c r="AR98" s="72"/>
      <c r="AS98" s="72"/>
      <c r="AT98" s="72"/>
      <c r="AU98" s="2"/>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7"/>
    </row>
    <row r="99" spans="2:80" ht="4.95" customHeight="1" x14ac:dyDescent="0.3">
      <c r="AL99" s="72"/>
      <c r="AM99" s="72"/>
      <c r="AN99" s="72"/>
      <c r="AO99" s="72"/>
      <c r="AP99" s="72"/>
      <c r="AQ99" s="72"/>
      <c r="AR99" s="72"/>
      <c r="AS99" s="72"/>
      <c r="AT99" s="72"/>
      <c r="AU99" s="2"/>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7"/>
    </row>
    <row r="100" spans="2:80" ht="15" customHeight="1" x14ac:dyDescent="0.3">
      <c r="J100" s="2" t="s">
        <v>225</v>
      </c>
      <c r="K100" s="186"/>
      <c r="L100" s="186"/>
      <c r="M100" s="186"/>
      <c r="O100" s="181"/>
      <c r="P100" s="181"/>
      <c r="Q100" s="181"/>
      <c r="R100" s="28" t="s">
        <v>39</v>
      </c>
      <c r="T100" s="181"/>
      <c r="U100" s="181"/>
      <c r="V100" s="181"/>
      <c r="W100" s="28" t="s">
        <v>40</v>
      </c>
      <c r="Y100" s="181"/>
      <c r="Z100" s="181"/>
      <c r="AA100" s="181"/>
      <c r="AB100" s="28" t="s">
        <v>40</v>
      </c>
      <c r="AD100" s="181"/>
      <c r="AE100" s="181"/>
      <c r="AF100" s="181"/>
      <c r="AG100" s="28" t="s">
        <v>40</v>
      </c>
      <c r="AL100" s="96">
        <v>2</v>
      </c>
      <c r="AM100" s="96">
        <f>IF(AL100&lt;=$O$94,2,1)</f>
        <v>1</v>
      </c>
      <c r="AN100" s="96">
        <f>IF(ISBLANK(K100),1,2)</f>
        <v>1</v>
      </c>
      <c r="AO100" s="72"/>
      <c r="AP100" s="72"/>
      <c r="AQ100" s="72"/>
      <c r="AR100" s="72"/>
      <c r="AS100" s="72"/>
      <c r="AT100" s="72"/>
      <c r="AU100" s="2"/>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7"/>
    </row>
    <row r="101" spans="2:80" ht="4.95" customHeight="1" x14ac:dyDescent="0.3">
      <c r="AL101" s="72"/>
      <c r="AM101" s="72"/>
      <c r="AN101" s="72"/>
      <c r="AO101" s="72"/>
      <c r="AP101" s="72"/>
      <c r="AQ101" s="72"/>
      <c r="AR101" s="72"/>
      <c r="AS101" s="72"/>
      <c r="AT101" s="72"/>
      <c r="AU101" s="2"/>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7"/>
    </row>
    <row r="102" spans="2:80" ht="15" customHeight="1" x14ac:dyDescent="0.3">
      <c r="J102" s="2" t="s">
        <v>391</v>
      </c>
      <c r="K102" s="113"/>
      <c r="L102" s="28" t="s">
        <v>117</v>
      </c>
      <c r="N102" s="113"/>
      <c r="O102" s="28" t="s">
        <v>118</v>
      </c>
      <c r="T102" s="178"/>
      <c r="U102" s="178"/>
      <c r="V102" s="178"/>
      <c r="W102" s="28" t="s">
        <v>39</v>
      </c>
      <c r="Y102" s="181"/>
      <c r="Z102" s="181"/>
      <c r="AA102" s="181"/>
      <c r="AB102" s="28" t="s">
        <v>40</v>
      </c>
      <c r="AL102" s="96">
        <f>IF(AND(ISBLANK(K102),ISBLANK(N102)),1,2)</f>
        <v>1</v>
      </c>
      <c r="AM102" s="96">
        <f>IF(ISBLANK(K102),1,2)</f>
        <v>1</v>
      </c>
      <c r="AN102" s="96"/>
      <c r="AO102" s="72"/>
      <c r="AP102" s="72"/>
      <c r="AQ102" s="72"/>
      <c r="AR102" s="72"/>
      <c r="AS102" s="72"/>
      <c r="AT102" s="72"/>
      <c r="AU102" s="2"/>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7"/>
    </row>
    <row r="103" spans="2:80" ht="4.95" customHeight="1" x14ac:dyDescent="0.3">
      <c r="AL103" s="72"/>
      <c r="AM103" s="72"/>
      <c r="AN103" s="72"/>
      <c r="AO103" s="72"/>
      <c r="AP103" s="72"/>
      <c r="AQ103" s="72"/>
      <c r="AR103" s="72"/>
      <c r="AS103" s="72"/>
      <c r="AT103" s="72"/>
      <c r="AU103" s="2"/>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7"/>
    </row>
    <row r="104" spans="2:80" ht="15" customHeight="1" x14ac:dyDescent="0.3">
      <c r="J104" s="2" t="s">
        <v>225</v>
      </c>
      <c r="K104" s="186"/>
      <c r="L104" s="186"/>
      <c r="M104" s="186"/>
      <c r="O104" s="181"/>
      <c r="P104" s="181"/>
      <c r="Q104" s="181"/>
      <c r="R104" s="28" t="s">
        <v>39</v>
      </c>
      <c r="T104" s="181"/>
      <c r="U104" s="181"/>
      <c r="V104" s="181"/>
      <c r="W104" s="28" t="s">
        <v>40</v>
      </c>
      <c r="Y104" s="181"/>
      <c r="Z104" s="181"/>
      <c r="AA104" s="181"/>
      <c r="AB104" s="28" t="s">
        <v>40</v>
      </c>
      <c r="AD104" s="181"/>
      <c r="AE104" s="181"/>
      <c r="AF104" s="181"/>
      <c r="AG104" s="28" t="s">
        <v>40</v>
      </c>
      <c r="AL104" s="96">
        <v>3</v>
      </c>
      <c r="AM104" s="96">
        <f>IF(AL104&lt;=$O$94,2,1)</f>
        <v>1</v>
      </c>
      <c r="AN104" s="96">
        <f>IF(ISBLANK(K104),1,2)</f>
        <v>1</v>
      </c>
      <c r="AO104" s="72"/>
      <c r="AP104" s="72"/>
      <c r="AQ104" s="72"/>
      <c r="AR104" s="72"/>
      <c r="AS104" s="72"/>
      <c r="AT104" s="72"/>
      <c r="AU104" s="2"/>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7"/>
    </row>
    <row r="105" spans="2:80" ht="4.95" customHeight="1" x14ac:dyDescent="0.3">
      <c r="AL105" s="72"/>
      <c r="AM105" s="72"/>
      <c r="AN105" s="72"/>
      <c r="AO105" s="72"/>
      <c r="AP105" s="72"/>
      <c r="AQ105" s="72"/>
      <c r="AR105" s="72"/>
      <c r="AS105" s="72"/>
      <c r="AT105" s="72"/>
      <c r="AU105" s="2"/>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7"/>
    </row>
    <row r="106" spans="2:80" ht="15" customHeight="1" x14ac:dyDescent="0.3">
      <c r="J106" s="2" t="s">
        <v>391</v>
      </c>
      <c r="K106" s="113"/>
      <c r="L106" s="28" t="s">
        <v>117</v>
      </c>
      <c r="N106" s="113"/>
      <c r="O106" s="28" t="s">
        <v>118</v>
      </c>
      <c r="T106" s="178"/>
      <c r="U106" s="178"/>
      <c r="V106" s="178"/>
      <c r="W106" s="28" t="s">
        <v>39</v>
      </c>
      <c r="Y106" s="181"/>
      <c r="Z106" s="181"/>
      <c r="AA106" s="181"/>
      <c r="AB106" s="28" t="s">
        <v>40</v>
      </c>
      <c r="AL106" s="96">
        <f>IF(AND(ISBLANK(K106),ISBLANK(N106)),1,2)</f>
        <v>1</v>
      </c>
      <c r="AM106" s="96">
        <f>IF(ISBLANK(K106),1,2)</f>
        <v>1</v>
      </c>
      <c r="AN106" s="96"/>
      <c r="AO106" s="72"/>
      <c r="AP106" s="72"/>
      <c r="AQ106" s="72"/>
      <c r="AR106" s="72"/>
      <c r="AS106" s="72"/>
      <c r="AT106" s="72"/>
      <c r="AU106" s="2"/>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7"/>
    </row>
    <row r="107" spans="2:80" ht="15" customHeight="1" x14ac:dyDescent="0.3">
      <c r="AN107" s="72"/>
      <c r="AO107" s="72"/>
      <c r="AP107" s="72"/>
      <c r="AQ107" s="72"/>
      <c r="AR107" s="72"/>
      <c r="AS107" s="72"/>
      <c r="AT107" s="72"/>
      <c r="AU107" s="2"/>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7"/>
    </row>
    <row r="108" spans="2:80" ht="15" customHeight="1" x14ac:dyDescent="0.3">
      <c r="B108" s="198">
        <f>Tables!$F$13</f>
        <v>45931</v>
      </c>
      <c r="C108" s="198"/>
      <c r="D108" s="198"/>
      <c r="E108" s="198"/>
      <c r="F108" s="198"/>
      <c r="G108" s="198"/>
      <c r="H108" s="198"/>
      <c r="R108" s="188" t="s">
        <v>309</v>
      </c>
      <c r="S108" s="188"/>
      <c r="T108" s="188"/>
      <c r="U108" s="188"/>
      <c r="AK108" s="33"/>
      <c r="AN108" s="72"/>
      <c r="AO108" s="72"/>
      <c r="AP108" s="72"/>
      <c r="AQ108" s="72"/>
      <c r="AR108" s="72"/>
      <c r="AS108" s="72"/>
      <c r="AT108" s="72"/>
      <c r="AU108" s="2"/>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7"/>
    </row>
    <row r="109" spans="2:80" ht="15" customHeight="1" x14ac:dyDescent="0.3">
      <c r="C109" s="2" t="s">
        <v>1</v>
      </c>
      <c r="D109" s="199">
        <f>IF(ISBLANK($E$7),0,$E$7)</f>
        <v>0</v>
      </c>
      <c r="E109" s="199"/>
      <c r="F109" s="199"/>
      <c r="G109" s="199"/>
      <c r="H109" s="199"/>
      <c r="I109" s="199"/>
      <c r="J109" s="199"/>
      <c r="K109" s="199"/>
      <c r="L109" s="199"/>
      <c r="M109" s="199"/>
      <c r="N109" s="199"/>
      <c r="O109" s="199"/>
      <c r="P109" s="199"/>
      <c r="Q109" s="199"/>
      <c r="R109" s="199"/>
      <c r="S109" s="199"/>
      <c r="T109" s="199"/>
      <c r="U109" s="199"/>
      <c r="V109" s="199"/>
      <c r="W109" s="199"/>
      <c r="X109" s="199"/>
      <c r="Y109" s="199"/>
      <c r="AD109" s="2" t="s">
        <v>19</v>
      </c>
      <c r="AE109" s="197">
        <f>IF(ISBLANK($AE$7),0,$AE$7)</f>
        <v>0</v>
      </c>
      <c r="AF109" s="197"/>
      <c r="AG109" s="197"/>
      <c r="AH109" s="197"/>
      <c r="AI109" s="197"/>
      <c r="AJ109" s="197"/>
      <c r="AN109" s="72"/>
      <c r="AO109" s="72"/>
      <c r="AP109" s="72"/>
      <c r="AQ109" s="72"/>
      <c r="AR109" s="72"/>
      <c r="AS109" s="72"/>
      <c r="AT109" s="72"/>
      <c r="AU109" s="2"/>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7"/>
    </row>
    <row r="110" spans="2:80" ht="15" customHeight="1" x14ac:dyDescent="0.3">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D110" s="2" t="s">
        <v>32</v>
      </c>
      <c r="AE110" s="196">
        <f>IF(ISBLANK($AE$8),0,$AE$8)</f>
        <v>0</v>
      </c>
      <c r="AF110" s="196"/>
      <c r="AG110" s="196"/>
      <c r="AH110" s="196"/>
      <c r="AI110" s="196"/>
      <c r="AJ110" s="196"/>
      <c r="AN110" s="72"/>
      <c r="AO110" s="72"/>
      <c r="AP110" s="72"/>
      <c r="AQ110" s="72"/>
      <c r="AR110" s="72"/>
      <c r="AS110" s="72"/>
      <c r="AT110" s="72"/>
      <c r="AU110" s="2"/>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7"/>
    </row>
    <row r="111" spans="2:80" ht="15" customHeight="1" x14ac:dyDescent="0.3">
      <c r="C111" s="83" t="s">
        <v>392</v>
      </c>
      <c r="AN111" s="72"/>
      <c r="AO111" s="72"/>
      <c r="AP111" s="72"/>
      <c r="AQ111" s="72"/>
      <c r="AR111" s="72"/>
      <c r="AS111" s="72"/>
      <c r="AT111" s="72"/>
      <c r="AU111" s="2"/>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7"/>
    </row>
    <row r="112" spans="2:80" ht="15" customHeight="1" x14ac:dyDescent="0.3">
      <c r="N112" s="188" t="s">
        <v>21</v>
      </c>
      <c r="O112" s="188"/>
      <c r="P112" s="188"/>
      <c r="Q112" s="188"/>
      <c r="U112" s="4" t="s">
        <v>228</v>
      </c>
      <c r="Z112" s="4" t="s">
        <v>38</v>
      </c>
      <c r="AN112" s="72"/>
      <c r="AO112" s="72"/>
      <c r="AP112" s="72"/>
      <c r="AQ112" s="72"/>
      <c r="AR112" s="72"/>
      <c r="AS112" s="72"/>
      <c r="AT112" s="72"/>
      <c r="AU112" s="2"/>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7"/>
    </row>
    <row r="113" spans="2:80" ht="15" customHeight="1" x14ac:dyDescent="0.3">
      <c r="C113" s="83" t="s">
        <v>229</v>
      </c>
      <c r="I113" s="62"/>
      <c r="J113" s="28" t="s">
        <v>305</v>
      </c>
      <c r="N113" s="182"/>
      <c r="O113" s="182"/>
      <c r="P113" s="182"/>
      <c r="Q113" s="182"/>
      <c r="T113" s="181"/>
      <c r="U113" s="181"/>
      <c r="V113" s="181"/>
      <c r="W113" s="28" t="s">
        <v>39</v>
      </c>
      <c r="X113" s="2"/>
      <c r="Y113" s="181"/>
      <c r="Z113" s="181"/>
      <c r="AA113" s="181"/>
      <c r="AB113" s="28" t="s">
        <v>40</v>
      </c>
      <c r="AF113" s="2"/>
      <c r="AL113" s="96">
        <f>IF(ISBLANK(I113),1,2)</f>
        <v>1</v>
      </c>
      <c r="AM113" s="96">
        <f>IF(ISBLANK(T113),1,2)</f>
        <v>1</v>
      </c>
      <c r="AN113" s="72"/>
      <c r="AO113" s="72"/>
      <c r="AP113" s="72"/>
      <c r="AQ113" s="72"/>
      <c r="AR113" s="72"/>
      <c r="AS113" s="72"/>
      <c r="AT113" s="72"/>
      <c r="AU113" s="2"/>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7"/>
    </row>
    <row r="114" spans="2:80" ht="4.95" customHeight="1" x14ac:dyDescent="0.3">
      <c r="AN114" s="72"/>
      <c r="AO114" s="72"/>
      <c r="AP114" s="72"/>
      <c r="AQ114" s="72"/>
      <c r="AR114" s="72"/>
      <c r="AS114" s="72"/>
      <c r="AT114" s="72"/>
      <c r="AU114" s="2"/>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7"/>
    </row>
    <row r="115" spans="2:80" ht="15" customHeight="1" x14ac:dyDescent="0.3">
      <c r="C115" s="83" t="s">
        <v>230</v>
      </c>
      <c r="I115" s="62"/>
      <c r="J115" s="28" t="s">
        <v>305</v>
      </c>
      <c r="N115" s="182"/>
      <c r="O115" s="182"/>
      <c r="P115" s="182"/>
      <c r="Q115" s="182"/>
      <c r="T115" s="181"/>
      <c r="U115" s="181"/>
      <c r="V115" s="181"/>
      <c r="W115" s="28" t="s">
        <v>39</v>
      </c>
      <c r="AC115" s="2" t="s">
        <v>234</v>
      </c>
      <c r="AD115" s="190"/>
      <c r="AE115" s="190"/>
      <c r="AF115" s="190"/>
      <c r="AG115" s="28" t="s">
        <v>227</v>
      </c>
      <c r="AL115" s="96">
        <f>IF(ISBLANK(I115),1,2)</f>
        <v>1</v>
      </c>
      <c r="AM115" s="96">
        <f>IF(ISBLANK(AD115),1,2)</f>
        <v>1</v>
      </c>
      <c r="AN115" s="72"/>
      <c r="AO115" s="72"/>
      <c r="AP115" s="72"/>
      <c r="AQ115" s="72"/>
      <c r="AR115" s="72"/>
      <c r="AS115" s="72"/>
      <c r="AT115" s="72"/>
      <c r="AU115" s="2"/>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7"/>
    </row>
    <row r="116" spans="2:80" ht="15" customHeight="1" x14ac:dyDescent="0.3">
      <c r="B116" s="1" t="s">
        <v>456</v>
      </c>
      <c r="C116" s="1"/>
      <c r="D116" s="1"/>
      <c r="E116" s="1"/>
      <c r="F116" s="1"/>
      <c r="G116" s="1"/>
      <c r="H116" s="1"/>
      <c r="I116" s="1"/>
      <c r="J116" s="2"/>
      <c r="K116" s="2"/>
      <c r="L116" s="2"/>
      <c r="M116" s="2"/>
      <c r="N116" s="40"/>
      <c r="O116" s="39"/>
      <c r="P116" s="39"/>
      <c r="Q116" s="39"/>
      <c r="R116" s="39"/>
      <c r="S116" s="39"/>
      <c r="T116" s="39"/>
      <c r="U116" s="39"/>
      <c r="V116" s="39"/>
      <c r="W116" s="39"/>
      <c r="X116" s="39"/>
      <c r="Y116" s="39"/>
      <c r="Z116" s="39"/>
    </row>
    <row r="117" spans="2:80" s="76" customFormat="1" ht="4.95" customHeight="1" x14ac:dyDescent="0.3">
      <c r="B117" s="1"/>
      <c r="C117" s="1"/>
      <c r="D117" s="1"/>
      <c r="E117" s="1"/>
      <c r="F117" s="1"/>
      <c r="G117" s="1"/>
      <c r="H117" s="1"/>
      <c r="I117" s="1"/>
      <c r="AL117" s="77"/>
      <c r="AM117" s="77"/>
      <c r="AN117" s="77"/>
      <c r="AO117" s="77"/>
      <c r="AP117" s="77"/>
      <c r="AQ117" s="77"/>
      <c r="AR117" s="77"/>
      <c r="AS117" s="77"/>
      <c r="AT117" s="77"/>
    </row>
    <row r="118" spans="2:80" ht="15" customHeight="1" x14ac:dyDescent="0.3">
      <c r="E118" s="2" t="s">
        <v>161</v>
      </c>
      <c r="F118" s="182"/>
      <c r="G118" s="182"/>
      <c r="H118" s="182"/>
      <c r="I118" s="182"/>
      <c r="J118" s="76"/>
      <c r="K118" s="76"/>
      <c r="L118" s="76"/>
      <c r="O118" s="2" t="s">
        <v>162</v>
      </c>
      <c r="P118" s="182"/>
      <c r="Q118" s="182"/>
      <c r="R118" s="182"/>
      <c r="AC118" s="2"/>
      <c r="AE118" s="2" t="s">
        <v>136</v>
      </c>
      <c r="AF118" s="62"/>
      <c r="AG118" s="28" t="s">
        <v>117</v>
      </c>
      <c r="AI118" s="62"/>
      <c r="AJ118" s="28" t="s">
        <v>118</v>
      </c>
      <c r="AM118" s="96">
        <f>IF(AND(ISBLANK(AF118),ISBLANK(AI118)),1,2)</f>
        <v>1</v>
      </c>
    </row>
    <row r="119" spans="2:80" ht="15" customHeight="1" x14ac:dyDescent="0.3">
      <c r="E119" s="2" t="s">
        <v>160</v>
      </c>
      <c r="F119" s="179"/>
      <c r="G119" s="179"/>
      <c r="H119" s="179"/>
      <c r="I119" s="179"/>
      <c r="J119" s="28" t="s">
        <v>40</v>
      </c>
      <c r="K119" s="33"/>
      <c r="AL119" s="96">
        <f>IF(ISBLANK(F119),1,2)</f>
        <v>1</v>
      </c>
    </row>
    <row r="120" spans="2:80" ht="15" customHeight="1" x14ac:dyDescent="0.3">
      <c r="E120" s="2" t="s">
        <v>159</v>
      </c>
      <c r="F120" s="179"/>
      <c r="G120" s="179"/>
      <c r="H120" s="179"/>
      <c r="I120" s="179"/>
      <c r="J120" s="28" t="s">
        <v>40</v>
      </c>
      <c r="K120" s="33"/>
      <c r="O120" s="2" t="s">
        <v>41</v>
      </c>
      <c r="P120" s="181"/>
      <c r="Q120" s="181"/>
      <c r="R120" s="181"/>
      <c r="S120" s="28" t="s">
        <v>40</v>
      </c>
      <c r="AL120" s="96">
        <f>IF(AND(ISBLANK(F120),ISBLANK(P120)),1,2)</f>
        <v>1</v>
      </c>
    </row>
    <row r="121" spans="2:80" ht="15" customHeight="1" x14ac:dyDescent="0.3">
      <c r="E121" s="2" t="s">
        <v>154</v>
      </c>
      <c r="F121" s="179"/>
      <c r="G121" s="179"/>
      <c r="H121" s="179"/>
      <c r="I121" s="179"/>
      <c r="J121" s="28" t="s">
        <v>40</v>
      </c>
      <c r="K121" s="33"/>
      <c r="O121" s="2" t="s">
        <v>42</v>
      </c>
      <c r="P121" s="179"/>
      <c r="Q121" s="179"/>
      <c r="R121" s="179"/>
      <c r="S121" s="28" t="s">
        <v>40</v>
      </c>
      <c r="AM121" s="96">
        <f>IF(AND(ISBLANK(AF121),ISBLANK(AI121)),1,2)</f>
        <v>1</v>
      </c>
    </row>
    <row r="122" spans="2:80" ht="4.95" customHeight="1" x14ac:dyDescent="0.3">
      <c r="E122" s="2"/>
      <c r="F122" s="32"/>
      <c r="G122" s="32"/>
      <c r="H122" s="32"/>
      <c r="I122" s="32"/>
      <c r="J122" s="33"/>
      <c r="K122" s="33"/>
      <c r="Q122" s="2"/>
      <c r="R122" s="33"/>
      <c r="S122" s="33"/>
    </row>
    <row r="123" spans="2:80" ht="15" customHeight="1" x14ac:dyDescent="0.3">
      <c r="F123" s="188" t="s">
        <v>31</v>
      </c>
      <c r="G123" s="188"/>
      <c r="H123" s="188"/>
      <c r="I123" s="188"/>
      <c r="J123" s="33"/>
      <c r="K123" s="33"/>
      <c r="L123" s="4" t="s">
        <v>295</v>
      </c>
      <c r="N123" s="4"/>
      <c r="O123" s="4"/>
      <c r="P123" s="4"/>
      <c r="Q123" s="4" t="s">
        <v>296</v>
      </c>
      <c r="S123" s="4"/>
      <c r="V123" s="4" t="s">
        <v>38</v>
      </c>
      <c r="AA123" s="4" t="s">
        <v>76</v>
      </c>
      <c r="AB123" s="4"/>
      <c r="AC123" s="4"/>
      <c r="AF123" s="4" t="s">
        <v>376</v>
      </c>
      <c r="AG123" s="4"/>
      <c r="AH123" s="4"/>
    </row>
    <row r="124" spans="2:80" ht="15" customHeight="1" x14ac:dyDescent="0.3">
      <c r="E124" s="2" t="s">
        <v>157</v>
      </c>
      <c r="F124" s="182"/>
      <c r="G124" s="182"/>
      <c r="H124" s="182"/>
      <c r="I124" s="182"/>
      <c r="J124" s="33"/>
      <c r="K124" s="181"/>
      <c r="L124" s="181"/>
      <c r="M124" s="181"/>
      <c r="N124" s="28" t="s">
        <v>39</v>
      </c>
      <c r="O124" s="4"/>
      <c r="P124" s="181"/>
      <c r="Q124" s="181"/>
      <c r="R124" s="181"/>
      <c r="S124" s="28" t="s">
        <v>39</v>
      </c>
      <c r="U124" s="181"/>
      <c r="V124" s="181"/>
      <c r="W124" s="181"/>
      <c r="X124" s="28" t="s">
        <v>40</v>
      </c>
      <c r="Z124" s="181"/>
      <c r="AA124" s="181"/>
      <c r="AB124" s="181"/>
      <c r="AC124" s="28" t="s">
        <v>40</v>
      </c>
      <c r="AE124" s="181"/>
      <c r="AF124" s="181"/>
      <c r="AG124" s="181"/>
      <c r="AH124" s="28" t="s">
        <v>367</v>
      </c>
      <c r="AL124" s="96">
        <f>IF(ISBLANK(F124),1,2)</f>
        <v>1</v>
      </c>
      <c r="AM124" s="96">
        <f>IF(AND(ISBLANK(AF124),ISBLANK(AI124)),1,2)</f>
        <v>1</v>
      </c>
    </row>
    <row r="125" spans="2:80" ht="4.95" customHeight="1" x14ac:dyDescent="0.3">
      <c r="E125" s="2"/>
      <c r="F125" s="2"/>
      <c r="G125" s="2"/>
      <c r="H125" s="2"/>
      <c r="I125" s="2"/>
      <c r="J125" s="33"/>
      <c r="K125" s="2"/>
      <c r="L125" s="2"/>
      <c r="N125" s="2"/>
      <c r="O125" s="4"/>
      <c r="P125" s="2"/>
      <c r="S125" s="2"/>
      <c r="U125" s="2"/>
      <c r="V125" s="2"/>
      <c r="X125" s="2"/>
      <c r="Y125" s="2"/>
      <c r="Z125" s="2"/>
      <c r="AC125" s="2"/>
      <c r="AD125" s="2"/>
      <c r="AE125" s="2"/>
      <c r="AF125" s="2"/>
      <c r="AG125" s="2"/>
      <c r="AH125" s="2"/>
      <c r="AI125" s="2"/>
      <c r="AJ125" s="2"/>
    </row>
    <row r="126" spans="2:80" ht="15" customHeight="1" x14ac:dyDescent="0.3">
      <c r="E126" s="2" t="s">
        <v>156</v>
      </c>
      <c r="F126" s="182"/>
      <c r="G126" s="182"/>
      <c r="H126" s="182"/>
      <c r="I126" s="182"/>
      <c r="J126" s="33"/>
      <c r="K126" s="181"/>
      <c r="L126" s="181"/>
      <c r="M126" s="181"/>
      <c r="N126" s="28" t="str">
        <f>IF(F126="V-notch","deg","in")</f>
        <v>in</v>
      </c>
      <c r="O126" s="4"/>
      <c r="P126" s="181"/>
      <c r="Q126" s="181"/>
      <c r="R126" s="181"/>
      <c r="S126" s="28" t="s">
        <v>39</v>
      </c>
      <c r="U126" s="181"/>
      <c r="V126" s="181"/>
      <c r="W126" s="181"/>
      <c r="X126" s="28" t="s">
        <v>40</v>
      </c>
      <c r="AC126" s="2"/>
      <c r="AE126" s="2" t="s">
        <v>341</v>
      </c>
      <c r="AF126" s="62"/>
      <c r="AG126" s="28" t="s">
        <v>117</v>
      </c>
      <c r="AI126" s="62"/>
      <c r="AJ126" s="28" t="s">
        <v>118</v>
      </c>
      <c r="AL126" s="96">
        <f>IF(ISBLANK(F126),1,2)</f>
        <v>1</v>
      </c>
      <c r="AM126" s="96">
        <f>IF(AND(ISBLANK(AF126),ISBLANK(AI126)),1,2)</f>
        <v>1</v>
      </c>
      <c r="AN126" s="96">
        <f>IF(ISBLANK(AI126),1,IF(AM59=2,1,2))</f>
        <v>1</v>
      </c>
    </row>
    <row r="127" spans="2:80" ht="15" customHeight="1" x14ac:dyDescent="0.3">
      <c r="C127" s="212" t="s">
        <v>176</v>
      </c>
      <c r="D127" s="212"/>
      <c r="E127" s="212"/>
      <c r="F127" s="182"/>
      <c r="G127" s="182"/>
      <c r="H127" s="182"/>
      <c r="I127" s="182"/>
      <c r="J127" s="33"/>
      <c r="K127" s="181"/>
      <c r="L127" s="181"/>
      <c r="M127" s="181"/>
      <c r="N127" s="28" t="str">
        <f>IF(F127="V-notch","deg","in")</f>
        <v>in</v>
      </c>
      <c r="O127" s="4"/>
      <c r="P127" s="181"/>
      <c r="Q127" s="181"/>
      <c r="R127" s="181"/>
      <c r="S127" s="28" t="s">
        <v>39</v>
      </c>
      <c r="U127" s="181"/>
      <c r="V127" s="181"/>
      <c r="W127" s="181"/>
      <c r="X127" s="28" t="s">
        <v>40</v>
      </c>
      <c r="AL127" s="96">
        <f>IF(C127="None: ",3,IF(OR(C127="Orifice: ",C127="Weir: "),2,1))</f>
        <v>1</v>
      </c>
    </row>
    <row r="128" spans="2:80" ht="15" customHeight="1" x14ac:dyDescent="0.3">
      <c r="C128" s="212" t="s">
        <v>176</v>
      </c>
      <c r="D128" s="212"/>
      <c r="E128" s="212"/>
      <c r="F128" s="182"/>
      <c r="G128" s="182"/>
      <c r="H128" s="182"/>
      <c r="I128" s="182"/>
      <c r="J128" s="33"/>
      <c r="K128" s="181"/>
      <c r="L128" s="181"/>
      <c r="M128" s="181"/>
      <c r="N128" s="28" t="str">
        <f t="shared" ref="N128:N133" si="5">IF(F128="V-notch","deg","in")</f>
        <v>in</v>
      </c>
      <c r="O128" s="4"/>
      <c r="P128" s="181"/>
      <c r="Q128" s="181"/>
      <c r="R128" s="181"/>
      <c r="S128" s="28" t="s">
        <v>39</v>
      </c>
      <c r="U128" s="181"/>
      <c r="V128" s="181"/>
      <c r="W128" s="181"/>
      <c r="X128" s="28" t="s">
        <v>40</v>
      </c>
      <c r="Z128" s="28" t="s">
        <v>401</v>
      </c>
      <c r="AL128" s="96">
        <f t="shared" ref="AL128:AL133" si="6">IF(C128="None:",3,IF(OR(C128="Orifice: ",C128="Weir: "),2,1))</f>
        <v>1</v>
      </c>
    </row>
    <row r="129" spans="2:46" ht="15" customHeight="1" x14ac:dyDescent="0.3">
      <c r="C129" s="212" t="s">
        <v>176</v>
      </c>
      <c r="D129" s="212"/>
      <c r="E129" s="212"/>
      <c r="F129" s="182"/>
      <c r="G129" s="182"/>
      <c r="H129" s="182"/>
      <c r="I129" s="182"/>
      <c r="J129" s="33"/>
      <c r="K129" s="179"/>
      <c r="L129" s="179"/>
      <c r="M129" s="179"/>
      <c r="N129" s="28" t="str">
        <f t="shared" si="5"/>
        <v>in</v>
      </c>
      <c r="O129" s="4"/>
      <c r="P129" s="179"/>
      <c r="Q129" s="179"/>
      <c r="R129" s="179"/>
      <c r="S129" s="28" t="s">
        <v>39</v>
      </c>
      <c r="U129" s="179"/>
      <c r="V129" s="179"/>
      <c r="W129" s="179"/>
      <c r="X129" s="28" t="s">
        <v>40</v>
      </c>
      <c r="Z129" s="28" t="s">
        <v>400</v>
      </c>
      <c r="AF129" s="62"/>
      <c r="AG129" s="28" t="s">
        <v>117</v>
      </c>
      <c r="AI129" s="62"/>
      <c r="AJ129" s="28" t="s">
        <v>118</v>
      </c>
      <c r="AL129" s="96">
        <f t="shared" si="6"/>
        <v>1</v>
      </c>
      <c r="AM129" s="96">
        <f>IF(AND(ISBLANK(AF129),ISBLANK(AI129)),1,2)</f>
        <v>1</v>
      </c>
      <c r="AN129" s="96">
        <f>IF(ISBLANK(AF129),1,2)</f>
        <v>1</v>
      </c>
    </row>
    <row r="130" spans="2:46" ht="15" customHeight="1" x14ac:dyDescent="0.3">
      <c r="C130" s="212" t="s">
        <v>176</v>
      </c>
      <c r="D130" s="212"/>
      <c r="E130" s="212"/>
      <c r="F130" s="182"/>
      <c r="G130" s="182"/>
      <c r="H130" s="182"/>
      <c r="I130" s="182"/>
      <c r="J130" s="33"/>
      <c r="K130" s="179"/>
      <c r="L130" s="179"/>
      <c r="M130" s="179"/>
      <c r="N130" s="28" t="str">
        <f t="shared" si="5"/>
        <v>in</v>
      </c>
      <c r="O130" s="4"/>
      <c r="P130" s="179"/>
      <c r="Q130" s="179"/>
      <c r="R130" s="179"/>
      <c r="S130" s="28" t="s">
        <v>39</v>
      </c>
      <c r="U130" s="179"/>
      <c r="V130" s="179"/>
      <c r="W130" s="179"/>
      <c r="X130" s="28" t="s">
        <v>40</v>
      </c>
      <c r="AL130" s="96">
        <f t="shared" si="6"/>
        <v>1</v>
      </c>
    </row>
    <row r="131" spans="2:46" ht="15" customHeight="1" x14ac:dyDescent="0.3">
      <c r="C131" s="212" t="s">
        <v>176</v>
      </c>
      <c r="D131" s="212"/>
      <c r="E131" s="212"/>
      <c r="F131" s="182"/>
      <c r="G131" s="182"/>
      <c r="H131" s="182"/>
      <c r="I131" s="182"/>
      <c r="J131" s="33"/>
      <c r="K131" s="179"/>
      <c r="L131" s="179"/>
      <c r="M131" s="179"/>
      <c r="N131" s="28" t="str">
        <f t="shared" si="5"/>
        <v>in</v>
      </c>
      <c r="O131" s="4"/>
      <c r="P131" s="179"/>
      <c r="Q131" s="179"/>
      <c r="R131" s="179"/>
      <c r="S131" s="28" t="s">
        <v>39</v>
      </c>
      <c r="U131" s="179"/>
      <c r="V131" s="179"/>
      <c r="W131" s="179"/>
      <c r="X131" s="28" t="s">
        <v>40</v>
      </c>
      <c r="Z131" s="28" t="s">
        <v>402</v>
      </c>
      <c r="AF131" s="62"/>
      <c r="AG131" s="28" t="s">
        <v>117</v>
      </c>
      <c r="AI131" s="62"/>
      <c r="AJ131" s="28" t="s">
        <v>118</v>
      </c>
      <c r="AL131" s="96">
        <f t="shared" si="6"/>
        <v>1</v>
      </c>
      <c r="AM131" s="96">
        <f>IF(AND(ISBLANK(AF131),ISBLANK(AI131)),1,2)</f>
        <v>1</v>
      </c>
      <c r="AN131" s="96">
        <f>IF(AND(ISBLANK(AF131),ISBLANK(AI131)),1,IF(AI131&gt;0,3,2))</f>
        <v>1</v>
      </c>
    </row>
    <row r="132" spans="2:46" ht="15" customHeight="1" x14ac:dyDescent="0.3">
      <c r="C132" s="212" t="s">
        <v>176</v>
      </c>
      <c r="D132" s="212"/>
      <c r="E132" s="212"/>
      <c r="F132" s="182"/>
      <c r="G132" s="182"/>
      <c r="H132" s="182"/>
      <c r="I132" s="182"/>
      <c r="J132" s="33"/>
      <c r="K132" s="179"/>
      <c r="L132" s="179"/>
      <c r="M132" s="179"/>
      <c r="N132" s="28" t="str">
        <f t="shared" si="5"/>
        <v>in</v>
      </c>
      <c r="O132" s="4"/>
      <c r="P132" s="179"/>
      <c r="Q132" s="179"/>
      <c r="R132" s="179"/>
      <c r="S132" s="28" t="s">
        <v>39</v>
      </c>
      <c r="U132" s="179"/>
      <c r="V132" s="179"/>
      <c r="W132" s="179"/>
      <c r="X132" s="28" t="s">
        <v>40</v>
      </c>
      <c r="AL132" s="96">
        <f t="shared" si="6"/>
        <v>1</v>
      </c>
    </row>
    <row r="133" spans="2:46" ht="15" customHeight="1" x14ac:dyDescent="0.3">
      <c r="C133" s="212" t="s">
        <v>176</v>
      </c>
      <c r="D133" s="212"/>
      <c r="E133" s="212"/>
      <c r="F133" s="182"/>
      <c r="G133" s="182"/>
      <c r="H133" s="182"/>
      <c r="I133" s="182"/>
      <c r="J133" s="33"/>
      <c r="K133" s="179"/>
      <c r="L133" s="179"/>
      <c r="M133" s="179"/>
      <c r="N133" s="28" t="str">
        <f t="shared" si="5"/>
        <v>in</v>
      </c>
      <c r="O133" s="4"/>
      <c r="P133" s="179"/>
      <c r="Q133" s="179"/>
      <c r="R133" s="179"/>
      <c r="S133" s="28" t="s">
        <v>39</v>
      </c>
      <c r="U133" s="179"/>
      <c r="V133" s="179"/>
      <c r="W133" s="179"/>
      <c r="X133" s="28" t="s">
        <v>40</v>
      </c>
      <c r="AL133" s="96">
        <f t="shared" si="6"/>
        <v>1</v>
      </c>
      <c r="AO133" s="96">
        <f>IF(ISBLANK(K135),1,2)</f>
        <v>1</v>
      </c>
      <c r="AP133" s="22"/>
      <c r="AQ133" s="72" t="s">
        <v>140</v>
      </c>
      <c r="AR133" s="96">
        <f>SUM(AR135:AR137)</f>
        <v>0</v>
      </c>
      <c r="AS133" s="22"/>
      <c r="AT133" s="22"/>
    </row>
    <row r="134" spans="2:46" ht="4.95" customHeight="1" x14ac:dyDescent="0.3"/>
    <row r="135" spans="2:46" ht="15" customHeight="1" x14ac:dyDescent="0.3">
      <c r="B135" s="1" t="s">
        <v>457</v>
      </c>
      <c r="C135" s="1"/>
      <c r="D135" s="1"/>
      <c r="E135" s="1"/>
      <c r="F135" s="1"/>
      <c r="G135" s="1"/>
      <c r="H135" s="1"/>
      <c r="I135" s="1"/>
      <c r="K135" s="62"/>
      <c r="L135" s="28" t="s">
        <v>117</v>
      </c>
      <c r="O135" s="62"/>
      <c r="P135" s="28" t="s">
        <v>118</v>
      </c>
      <c r="Z135" s="2"/>
      <c r="AE135" s="2" t="s">
        <v>136</v>
      </c>
      <c r="AF135" s="62"/>
      <c r="AG135" s="28" t="s">
        <v>117</v>
      </c>
      <c r="AH135" s="36"/>
      <c r="AI135" s="62"/>
      <c r="AJ135" s="36" t="s">
        <v>137</v>
      </c>
      <c r="AL135" s="99">
        <f>IF(AND(ISBLANK(AF135),ISBLANK(AI135)),1,2)</f>
        <v>1</v>
      </c>
      <c r="AM135" s="96">
        <f>SUM(AM137:AM138,AM140,AO137:AO138,AO140)</f>
        <v>0</v>
      </c>
      <c r="AN135" s="13" t="s">
        <v>238</v>
      </c>
      <c r="AO135" s="96">
        <f>IF(AND(ISBLANK(K135),ISBLANK(O135)),1,2)</f>
        <v>1</v>
      </c>
      <c r="AP135" s="22"/>
      <c r="AQ135" s="72" t="s">
        <v>138</v>
      </c>
      <c r="AR135" s="96">
        <f>IF(ISBLANK(O140),0,1)</f>
        <v>0</v>
      </c>
      <c r="AS135" s="22"/>
      <c r="AT135" s="22"/>
    </row>
    <row r="136" spans="2:46" ht="4.95" customHeight="1" x14ac:dyDescent="0.3">
      <c r="B136" s="1"/>
      <c r="C136" s="1"/>
      <c r="D136" s="1"/>
      <c r="E136" s="1"/>
      <c r="F136" s="1"/>
      <c r="G136" s="1"/>
      <c r="H136" s="1"/>
      <c r="I136" s="1"/>
      <c r="AJ136" s="36"/>
      <c r="AL136" s="78"/>
    </row>
    <row r="137" spans="2:46" ht="15" customHeight="1" x14ac:dyDescent="0.3">
      <c r="E137" s="2" t="s">
        <v>161</v>
      </c>
      <c r="F137" s="182"/>
      <c r="G137" s="182"/>
      <c r="H137" s="182"/>
      <c r="I137" s="182"/>
      <c r="N137" s="2" t="s">
        <v>162</v>
      </c>
      <c r="O137" s="182"/>
      <c r="P137" s="182"/>
      <c r="Q137" s="182"/>
      <c r="AI137" s="36"/>
      <c r="AJ137" s="36"/>
      <c r="AL137" s="72" t="s">
        <v>50</v>
      </c>
      <c r="AM137" s="96">
        <f>IF(ISBLANK(F138),0,1)</f>
        <v>0</v>
      </c>
      <c r="AN137" s="72" t="s">
        <v>21</v>
      </c>
      <c r="AO137" s="96">
        <f>IF(ISBLANK(F137),0,1)</f>
        <v>0</v>
      </c>
      <c r="AP137" s="22"/>
      <c r="AQ137" s="72" t="s">
        <v>139</v>
      </c>
      <c r="AR137" s="96">
        <f>IF(ISBLANK(W140),0,1)</f>
        <v>0</v>
      </c>
      <c r="AS137" s="22"/>
      <c r="AT137" s="22"/>
    </row>
    <row r="138" spans="2:46" ht="15" customHeight="1" x14ac:dyDescent="0.3">
      <c r="E138" s="2" t="s">
        <v>159</v>
      </c>
      <c r="F138" s="179"/>
      <c r="G138" s="179"/>
      <c r="H138" s="179"/>
      <c r="I138" s="179"/>
      <c r="J138" s="28" t="s">
        <v>40</v>
      </c>
      <c r="N138" s="2" t="s">
        <v>163</v>
      </c>
      <c r="O138" s="179"/>
      <c r="P138" s="179"/>
      <c r="Q138" s="179"/>
      <c r="R138" s="28" t="s">
        <v>40</v>
      </c>
      <c r="V138" s="2" t="s">
        <v>178</v>
      </c>
      <c r="W138" s="181"/>
      <c r="X138" s="181"/>
      <c r="Y138" s="181"/>
      <c r="Z138" s="28" t="s">
        <v>40</v>
      </c>
      <c r="AE138" s="2" t="s">
        <v>111</v>
      </c>
      <c r="AF138" s="181"/>
      <c r="AG138" s="181"/>
      <c r="AH138" s="181"/>
      <c r="AI138" s="28" t="s">
        <v>40</v>
      </c>
      <c r="AL138" s="72" t="s">
        <v>76</v>
      </c>
      <c r="AM138" s="96">
        <f>IF(ISBLANK(O138),0,1)</f>
        <v>0</v>
      </c>
      <c r="AN138" s="72" t="s">
        <v>31</v>
      </c>
      <c r="AO138" s="96">
        <f>IF(ISBLANK(O137),0,1)</f>
        <v>0</v>
      </c>
      <c r="AP138" s="22"/>
      <c r="AQ138" s="72" t="s">
        <v>453</v>
      </c>
      <c r="AR138" s="96">
        <f>IF(ISBLANK(O140),1,IF(ISTEXT(O140)=TRUE,3,2))</f>
        <v>1</v>
      </c>
      <c r="AS138" s="22"/>
      <c r="AT138" s="22"/>
    </row>
    <row r="139" spans="2:46" ht="4.95" customHeight="1" x14ac:dyDescent="0.3">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L139" s="72"/>
      <c r="AN139" s="72"/>
    </row>
    <row r="140" spans="2:46" ht="15" customHeight="1" x14ac:dyDescent="0.3">
      <c r="B140" s="1" t="s">
        <v>14</v>
      </c>
      <c r="N140" s="34" t="s">
        <v>44</v>
      </c>
      <c r="O140" s="204"/>
      <c r="P140" s="204"/>
      <c r="Q140" s="204"/>
      <c r="R140" s="204"/>
      <c r="V140" s="2" t="s">
        <v>45</v>
      </c>
      <c r="W140" s="205"/>
      <c r="X140" s="205"/>
      <c r="Y140" s="205"/>
      <c r="Z140" s="205"/>
      <c r="AL140" s="72" t="s">
        <v>77</v>
      </c>
      <c r="AM140" s="96">
        <f>IF(ISBLANK(W138),0,1)</f>
        <v>0</v>
      </c>
      <c r="AN140" s="72" t="s">
        <v>78</v>
      </c>
      <c r="AO140" s="96">
        <f>IF(ISBLANK(AF138),0,1)</f>
        <v>0</v>
      </c>
      <c r="AP140" s="22"/>
      <c r="AQ140" s="72" t="s">
        <v>454</v>
      </c>
      <c r="AR140" s="96">
        <f>IF(ISBLANK(W140),1,IF(ISTEXT(W140)=TRUE,3,2))</f>
        <v>1</v>
      </c>
      <c r="AS140" s="22"/>
      <c r="AT140" s="22"/>
    </row>
    <row r="141" spans="2:46" ht="4.95" customHeight="1" x14ac:dyDescent="0.3">
      <c r="B141" s="1"/>
      <c r="AL141" s="72"/>
      <c r="AN141" s="72"/>
    </row>
    <row r="142" spans="2:46" ht="15" customHeight="1" x14ac:dyDescent="0.3">
      <c r="B142" s="1" t="s">
        <v>502</v>
      </c>
      <c r="C142" s="1"/>
      <c r="D142" s="1"/>
      <c r="E142" s="1"/>
      <c r="K142" s="2" t="s">
        <v>212</v>
      </c>
      <c r="L142" s="182"/>
      <c r="M142" s="182"/>
      <c r="N142" s="182"/>
      <c r="O142" s="182"/>
      <c r="P142" s="182"/>
      <c r="Q142" s="182"/>
      <c r="R142" s="182"/>
      <c r="S142" s="182"/>
      <c r="T142" s="182"/>
      <c r="AE142" s="2" t="s">
        <v>136</v>
      </c>
      <c r="AF142" s="62"/>
      <c r="AG142" s="28" t="s">
        <v>117</v>
      </c>
      <c r="AI142" s="62"/>
      <c r="AJ142" s="36" t="s">
        <v>137</v>
      </c>
      <c r="AL142" s="96">
        <f>IF(ISBLANK(L142),1,0)</f>
        <v>1</v>
      </c>
      <c r="AM142" s="99">
        <f>SUM(AL142,AO142,AL144:AO144)</f>
        <v>6</v>
      </c>
      <c r="AN142" s="72"/>
      <c r="AO142" s="99">
        <f>IF(AND(ISBLANK(AF142),ISBLANK(AI142)),1,0)</f>
        <v>1</v>
      </c>
      <c r="AP142" s="96">
        <f>IF(ISBLANK(AI142),1,2)</f>
        <v>1</v>
      </c>
    </row>
    <row r="143" spans="2:46" ht="4.95" customHeight="1" x14ac:dyDescent="0.3">
      <c r="AN143" s="72"/>
      <c r="AO143" s="72"/>
      <c r="AP143" s="72"/>
    </row>
    <row r="144" spans="2:46" ht="15" customHeight="1" x14ac:dyDescent="0.3">
      <c r="E144" s="2" t="s">
        <v>163</v>
      </c>
      <c r="F144" s="181"/>
      <c r="G144" s="181"/>
      <c r="H144" s="28" t="s">
        <v>40</v>
      </c>
      <c r="K144" s="2" t="s">
        <v>159</v>
      </c>
      <c r="L144" s="181"/>
      <c r="M144" s="181"/>
      <c r="N144" s="28" t="s">
        <v>40</v>
      </c>
      <c r="Q144" s="2" t="s">
        <v>508</v>
      </c>
      <c r="R144" s="181"/>
      <c r="S144" s="181"/>
      <c r="T144" s="28" t="s">
        <v>40</v>
      </c>
      <c r="AE144" s="2" t="s">
        <v>509</v>
      </c>
      <c r="AF144" s="62"/>
      <c r="AG144" s="28" t="s">
        <v>117</v>
      </c>
      <c r="AI144" s="62"/>
      <c r="AJ144" s="36" t="s">
        <v>137</v>
      </c>
      <c r="AL144" s="96">
        <f>IF(ISBLANK(F144),1,0)</f>
        <v>1</v>
      </c>
      <c r="AM144" s="96">
        <f>IF(ISBLANK(L144),1,0)</f>
        <v>1</v>
      </c>
      <c r="AN144" s="96">
        <f>IF(ISBLANK(R144),1,0)</f>
        <v>1</v>
      </c>
      <c r="AO144" s="99">
        <f>IF(AND(ISBLANK(AF144),ISBLANK(AI144)),1,0)</f>
        <v>1</v>
      </c>
      <c r="AP144" s="96">
        <f>IF(ISBLANK(AI144),1,2)</f>
        <v>1</v>
      </c>
    </row>
    <row r="145" spans="2:46" ht="15" customHeight="1" x14ac:dyDescent="0.3">
      <c r="B145" s="1"/>
      <c r="AL145" s="72"/>
      <c r="AN145" s="72"/>
    </row>
    <row r="146" spans="2:46" ht="19.95" customHeight="1" x14ac:dyDescent="0.3">
      <c r="B146" s="1" t="s">
        <v>425</v>
      </c>
      <c r="C146" s="1"/>
      <c r="D146" s="1"/>
      <c r="E146" s="1"/>
      <c r="F146" s="1"/>
      <c r="G146" s="1"/>
      <c r="H146" s="1"/>
      <c r="I146" s="1"/>
    </row>
    <row r="147" spans="2:46" ht="15" customHeight="1" x14ac:dyDescent="0.3">
      <c r="C147" s="188" t="s">
        <v>15</v>
      </c>
      <c r="D147" s="188"/>
      <c r="E147" s="188"/>
      <c r="F147" s="4"/>
      <c r="G147" s="4"/>
      <c r="H147" s="4"/>
      <c r="I147" s="4" t="s">
        <v>16</v>
      </c>
      <c r="K147" s="4"/>
      <c r="L147" s="4"/>
      <c r="M147" s="28" t="s">
        <v>47</v>
      </c>
      <c r="T147" s="4" t="s">
        <v>15</v>
      </c>
      <c r="V147" s="4"/>
      <c r="W147" s="4"/>
      <c r="Y147" s="4" t="s">
        <v>16</v>
      </c>
      <c r="Z147" s="4"/>
      <c r="AC147" s="28" t="s">
        <v>47</v>
      </c>
    </row>
    <row r="148" spans="2:46" ht="15" customHeight="1" x14ac:dyDescent="0.3">
      <c r="C148" s="181"/>
      <c r="D148" s="181"/>
      <c r="E148" s="181"/>
      <c r="F148" s="28" t="s">
        <v>40</v>
      </c>
      <c r="H148" s="189"/>
      <c r="I148" s="189"/>
      <c r="J148" s="189"/>
      <c r="K148" s="28" t="s">
        <v>36</v>
      </c>
      <c r="M148" s="189"/>
      <c r="N148" s="189"/>
      <c r="O148" s="189"/>
      <c r="P148" s="189"/>
      <c r="Q148" s="28" t="s">
        <v>34</v>
      </c>
      <c r="S148" s="181"/>
      <c r="T148" s="181"/>
      <c r="U148" s="181"/>
      <c r="V148" s="28" t="s">
        <v>40</v>
      </c>
      <c r="W148" s="33"/>
      <c r="X148" s="189"/>
      <c r="Y148" s="189"/>
      <c r="Z148" s="189"/>
      <c r="AA148" s="28" t="s">
        <v>36</v>
      </c>
      <c r="AC148" s="189"/>
      <c r="AD148" s="189"/>
      <c r="AE148" s="189"/>
      <c r="AF148" s="189"/>
      <c r="AG148" s="28" t="s">
        <v>34</v>
      </c>
      <c r="AL148" s="96">
        <f t="shared" ref="AL148:AL154" si="7">IF(ISBLANK(C148),1,2)</f>
        <v>1</v>
      </c>
      <c r="AM148" s="96">
        <f t="shared" ref="AM148:AM154" si="8">IF(ISBLANK(S148),1,2)</f>
        <v>1</v>
      </c>
      <c r="AN148" s="96">
        <f>IF(ISBLANK(H148),1,2)</f>
        <v>1</v>
      </c>
      <c r="AO148" s="96">
        <f>IF(ISBLANK(M148),1,2)</f>
        <v>1</v>
      </c>
      <c r="AP148" s="22"/>
    </row>
    <row r="149" spans="2:46" ht="15" customHeight="1" x14ac:dyDescent="0.3">
      <c r="C149" s="179"/>
      <c r="D149" s="179"/>
      <c r="E149" s="179"/>
      <c r="F149" s="28" t="s">
        <v>40</v>
      </c>
      <c r="H149" s="187"/>
      <c r="I149" s="187"/>
      <c r="J149" s="187"/>
      <c r="K149" s="28" t="s">
        <v>36</v>
      </c>
      <c r="M149" s="187"/>
      <c r="N149" s="187"/>
      <c r="O149" s="187"/>
      <c r="P149" s="187"/>
      <c r="Q149" s="28" t="s">
        <v>34</v>
      </c>
      <c r="S149" s="179"/>
      <c r="T149" s="179"/>
      <c r="U149" s="179"/>
      <c r="V149" s="28" t="s">
        <v>40</v>
      </c>
      <c r="W149" s="33"/>
      <c r="X149" s="187"/>
      <c r="Y149" s="187"/>
      <c r="Z149" s="187"/>
      <c r="AA149" s="28" t="s">
        <v>36</v>
      </c>
      <c r="AC149" s="187"/>
      <c r="AD149" s="187"/>
      <c r="AE149" s="187"/>
      <c r="AF149" s="187"/>
      <c r="AG149" s="28" t="s">
        <v>34</v>
      </c>
      <c r="AL149" s="96">
        <f t="shared" si="7"/>
        <v>1</v>
      </c>
      <c r="AM149" s="96">
        <f t="shared" si="8"/>
        <v>1</v>
      </c>
    </row>
    <row r="150" spans="2:46" ht="15" customHeight="1" x14ac:dyDescent="0.3">
      <c r="C150" s="179"/>
      <c r="D150" s="179"/>
      <c r="E150" s="179"/>
      <c r="F150" s="28" t="s">
        <v>40</v>
      </c>
      <c r="H150" s="187"/>
      <c r="I150" s="187"/>
      <c r="J150" s="187"/>
      <c r="K150" s="28" t="s">
        <v>36</v>
      </c>
      <c r="M150" s="187"/>
      <c r="N150" s="187"/>
      <c r="O150" s="187"/>
      <c r="P150" s="187"/>
      <c r="Q150" s="28" t="s">
        <v>34</v>
      </c>
      <c r="S150" s="179"/>
      <c r="T150" s="179"/>
      <c r="U150" s="179"/>
      <c r="V150" s="28" t="s">
        <v>40</v>
      </c>
      <c r="W150" s="33"/>
      <c r="X150" s="187"/>
      <c r="Y150" s="187"/>
      <c r="Z150" s="187"/>
      <c r="AA150" s="28" t="s">
        <v>36</v>
      </c>
      <c r="AC150" s="187"/>
      <c r="AD150" s="187"/>
      <c r="AE150" s="187"/>
      <c r="AF150" s="187"/>
      <c r="AG150" s="28" t="s">
        <v>34</v>
      </c>
      <c r="AL150" s="96">
        <f t="shared" si="7"/>
        <v>1</v>
      </c>
      <c r="AM150" s="96">
        <f t="shared" si="8"/>
        <v>1</v>
      </c>
    </row>
    <row r="151" spans="2:46" ht="15" customHeight="1" x14ac:dyDescent="0.3">
      <c r="C151" s="179"/>
      <c r="D151" s="179"/>
      <c r="E151" s="179"/>
      <c r="F151" s="28" t="s">
        <v>40</v>
      </c>
      <c r="H151" s="187"/>
      <c r="I151" s="187"/>
      <c r="J151" s="187"/>
      <c r="K151" s="28" t="s">
        <v>36</v>
      </c>
      <c r="M151" s="187"/>
      <c r="N151" s="187"/>
      <c r="O151" s="187"/>
      <c r="P151" s="187"/>
      <c r="Q151" s="28" t="s">
        <v>34</v>
      </c>
      <c r="S151" s="179"/>
      <c r="T151" s="179"/>
      <c r="U151" s="179"/>
      <c r="V151" s="28" t="s">
        <v>40</v>
      </c>
      <c r="W151" s="33"/>
      <c r="X151" s="187"/>
      <c r="Y151" s="187"/>
      <c r="Z151" s="187"/>
      <c r="AA151" s="28" t="s">
        <v>36</v>
      </c>
      <c r="AC151" s="187"/>
      <c r="AD151" s="187"/>
      <c r="AE151" s="187"/>
      <c r="AF151" s="187"/>
      <c r="AG151" s="28" t="s">
        <v>34</v>
      </c>
      <c r="AL151" s="96">
        <f t="shared" si="7"/>
        <v>1</v>
      </c>
      <c r="AM151" s="96">
        <f t="shared" si="8"/>
        <v>1</v>
      </c>
    </row>
    <row r="152" spans="2:46" ht="15" customHeight="1" x14ac:dyDescent="0.3">
      <c r="C152" s="179"/>
      <c r="D152" s="179"/>
      <c r="E152" s="179"/>
      <c r="F152" s="28" t="s">
        <v>40</v>
      </c>
      <c r="H152" s="187"/>
      <c r="I152" s="187"/>
      <c r="J152" s="187"/>
      <c r="K152" s="28" t="s">
        <v>36</v>
      </c>
      <c r="M152" s="187"/>
      <c r="N152" s="187"/>
      <c r="O152" s="187"/>
      <c r="P152" s="187"/>
      <c r="Q152" s="28" t="s">
        <v>34</v>
      </c>
      <c r="S152" s="179"/>
      <c r="T152" s="179"/>
      <c r="U152" s="179"/>
      <c r="V152" s="28" t="s">
        <v>40</v>
      </c>
      <c r="W152" s="33"/>
      <c r="X152" s="187"/>
      <c r="Y152" s="187"/>
      <c r="Z152" s="187"/>
      <c r="AA152" s="28" t="s">
        <v>36</v>
      </c>
      <c r="AC152" s="187"/>
      <c r="AD152" s="187"/>
      <c r="AE152" s="187"/>
      <c r="AF152" s="187"/>
      <c r="AG152" s="28" t="s">
        <v>34</v>
      </c>
      <c r="AL152" s="96">
        <f t="shared" si="7"/>
        <v>1</v>
      </c>
      <c r="AM152" s="96">
        <f t="shared" si="8"/>
        <v>1</v>
      </c>
    </row>
    <row r="153" spans="2:46" ht="15" customHeight="1" x14ac:dyDescent="0.3">
      <c r="C153" s="179"/>
      <c r="D153" s="179"/>
      <c r="E153" s="179"/>
      <c r="F153" s="28" t="s">
        <v>40</v>
      </c>
      <c r="H153" s="187"/>
      <c r="I153" s="187"/>
      <c r="J153" s="187"/>
      <c r="K153" s="28" t="s">
        <v>36</v>
      </c>
      <c r="M153" s="187"/>
      <c r="N153" s="187"/>
      <c r="O153" s="187"/>
      <c r="P153" s="187"/>
      <c r="Q153" s="28" t="s">
        <v>34</v>
      </c>
      <c r="S153" s="179"/>
      <c r="T153" s="179"/>
      <c r="U153" s="179"/>
      <c r="V153" s="28" t="s">
        <v>40</v>
      </c>
      <c r="W153" s="33"/>
      <c r="X153" s="187"/>
      <c r="Y153" s="187"/>
      <c r="Z153" s="187"/>
      <c r="AA153" s="28" t="s">
        <v>36</v>
      </c>
      <c r="AC153" s="187"/>
      <c r="AD153" s="187"/>
      <c r="AE153" s="187"/>
      <c r="AF153" s="187"/>
      <c r="AG153" s="28" t="s">
        <v>34</v>
      </c>
      <c r="AL153" s="96">
        <f t="shared" si="7"/>
        <v>1</v>
      </c>
      <c r="AM153" s="96">
        <f t="shared" si="8"/>
        <v>1</v>
      </c>
    </row>
    <row r="154" spans="2:46" ht="15" customHeight="1" x14ac:dyDescent="0.3">
      <c r="C154" s="179"/>
      <c r="D154" s="179"/>
      <c r="E154" s="179"/>
      <c r="F154" s="28" t="s">
        <v>40</v>
      </c>
      <c r="H154" s="187"/>
      <c r="I154" s="187"/>
      <c r="J154" s="187"/>
      <c r="K154" s="28" t="s">
        <v>36</v>
      </c>
      <c r="M154" s="187"/>
      <c r="N154" s="187"/>
      <c r="O154" s="187"/>
      <c r="P154" s="187"/>
      <c r="Q154" s="28" t="s">
        <v>34</v>
      </c>
      <c r="S154" s="179"/>
      <c r="T154" s="179"/>
      <c r="U154" s="179"/>
      <c r="V154" s="28" t="s">
        <v>40</v>
      </c>
      <c r="W154" s="33"/>
      <c r="X154" s="187"/>
      <c r="Y154" s="187"/>
      <c r="Z154" s="187"/>
      <c r="AA154" s="28" t="s">
        <v>36</v>
      </c>
      <c r="AC154" s="187"/>
      <c r="AD154" s="187"/>
      <c r="AE154" s="187"/>
      <c r="AF154" s="187"/>
      <c r="AG154" s="28" t="s">
        <v>34</v>
      </c>
      <c r="AL154" s="96">
        <f t="shared" si="7"/>
        <v>1</v>
      </c>
      <c r="AM154" s="96">
        <f t="shared" si="8"/>
        <v>1</v>
      </c>
    </row>
    <row r="155" spans="2:46" ht="19.95" customHeight="1" x14ac:dyDescent="0.3">
      <c r="G155" s="32" t="s">
        <v>48</v>
      </c>
      <c r="H155" s="203">
        <f>$W$21</f>
        <v>0</v>
      </c>
      <c r="I155" s="203"/>
      <c r="J155" s="203"/>
      <c r="K155" s="28" t="s">
        <v>34</v>
      </c>
      <c r="O155" s="79"/>
      <c r="P155" s="41"/>
      <c r="R155" s="32" t="s">
        <v>49</v>
      </c>
      <c r="S155" s="187"/>
      <c r="T155" s="187"/>
      <c r="U155" s="187"/>
      <c r="V155" s="28" t="s">
        <v>34</v>
      </c>
      <c r="AB155" s="41" t="s">
        <v>600</v>
      </c>
      <c r="AC155" s="183"/>
      <c r="AD155" s="183"/>
      <c r="AE155" s="183"/>
      <c r="AF155" s="183"/>
      <c r="AG155" s="28" t="s">
        <v>40</v>
      </c>
      <c r="AL155" s="72" t="s">
        <v>143</v>
      </c>
      <c r="AM155" s="96" t="str">
        <f>IF(ISBLANK(S155),"",IF(ISTEXT(S155),2,IF(OR(S155=H155,S155&gt;H155),1,2)))</f>
        <v/>
      </c>
      <c r="AN155" s="96">
        <f>IF(ISTEXT(S155),2,0)</f>
        <v>0</v>
      </c>
    </row>
    <row r="156" spans="2:46" ht="15" customHeight="1" x14ac:dyDescent="0.3">
      <c r="AM156" s="96">
        <f>IF(OR(ISBLANK(H155),ISBLANK(S155)),2,1)</f>
        <v>2</v>
      </c>
    </row>
    <row r="157" spans="2:46" ht="15" customHeight="1" x14ac:dyDescent="0.3">
      <c r="B157" s="198">
        <f>Tables!$F$13</f>
        <v>45931</v>
      </c>
      <c r="C157" s="198"/>
      <c r="D157" s="198"/>
      <c r="E157" s="198"/>
      <c r="F157" s="198"/>
      <c r="G157" s="198"/>
      <c r="H157" s="198"/>
      <c r="R157" s="188" t="s">
        <v>308</v>
      </c>
      <c r="S157" s="188"/>
      <c r="T157" s="188"/>
      <c r="U157" s="188"/>
      <c r="AK157" s="33"/>
    </row>
    <row r="158" spans="2:46" ht="15" customHeight="1" x14ac:dyDescent="0.3">
      <c r="C158" s="2" t="s">
        <v>1</v>
      </c>
      <c r="D158" s="199">
        <f>IF(ISBLANK($E$7),0,$E$7)</f>
        <v>0</v>
      </c>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39"/>
      <c r="AD158" s="2" t="s">
        <v>19</v>
      </c>
      <c r="AE158" s="197">
        <f>IF(ISBLANK($AE$7),0,$AE$7)</f>
        <v>0</v>
      </c>
      <c r="AF158" s="197"/>
      <c r="AG158" s="197"/>
      <c r="AH158" s="197"/>
      <c r="AI158" s="197"/>
      <c r="AJ158" s="197"/>
      <c r="AL158" s="13" t="s">
        <v>251</v>
      </c>
    </row>
    <row r="159" spans="2:46" ht="15" customHeight="1" x14ac:dyDescent="0.3">
      <c r="C159" s="40"/>
      <c r="D159" s="40"/>
      <c r="E159" s="40"/>
      <c r="F159" s="40"/>
      <c r="G159" s="40"/>
      <c r="H159" s="40"/>
      <c r="I159" s="40"/>
      <c r="J159" s="2"/>
      <c r="K159" s="2"/>
      <c r="M159" s="2"/>
      <c r="N159" s="40"/>
      <c r="O159" s="39"/>
      <c r="P159" s="39"/>
      <c r="Q159" s="39"/>
      <c r="R159" s="39"/>
      <c r="S159" s="39"/>
      <c r="T159" s="39"/>
      <c r="U159" s="39"/>
      <c r="V159" s="39"/>
      <c r="W159" s="39"/>
      <c r="X159" s="39"/>
      <c r="Y159" s="39"/>
      <c r="Z159" s="39"/>
      <c r="AD159" s="2" t="s">
        <v>32</v>
      </c>
      <c r="AE159" s="196">
        <f>IF(ISBLANK($AE$8),0,$AE$8)</f>
        <v>0</v>
      </c>
      <c r="AF159" s="196"/>
      <c r="AG159" s="196"/>
      <c r="AH159" s="196"/>
      <c r="AI159" s="196"/>
      <c r="AJ159" s="196"/>
      <c r="AL159" s="96">
        <f>IF(ISBLANK(K135),1,2)</f>
        <v>1</v>
      </c>
      <c r="AM159" s="22" t="s">
        <v>450</v>
      </c>
      <c r="AR159" s="22" t="s">
        <v>449</v>
      </c>
      <c r="AS159" s="22"/>
      <c r="AT159" s="22"/>
    </row>
    <row r="160" spans="2:46" ht="15" customHeight="1" x14ac:dyDescent="0.3">
      <c r="B160" s="1" t="s">
        <v>237</v>
      </c>
      <c r="Y160" s="188" t="s">
        <v>449</v>
      </c>
      <c r="Z160" s="188"/>
      <c r="AA160" s="188"/>
      <c r="AC160" s="188" t="s">
        <v>450</v>
      </c>
      <c r="AD160" s="188"/>
      <c r="AE160" s="188"/>
      <c r="AL160" s="22" t="s">
        <v>73</v>
      </c>
      <c r="AM160" s="22" t="s">
        <v>269</v>
      </c>
      <c r="AN160" s="22" t="s">
        <v>74</v>
      </c>
      <c r="AO160" s="13" t="s">
        <v>380</v>
      </c>
      <c r="AP160" s="13" t="s">
        <v>437</v>
      </c>
      <c r="AQ160" s="13" t="s">
        <v>300</v>
      </c>
      <c r="AR160" s="22" t="s">
        <v>269</v>
      </c>
      <c r="AS160" s="22"/>
      <c r="AT160" s="22"/>
    </row>
    <row r="161" spans="2:47" ht="30" customHeight="1" x14ac:dyDescent="0.3">
      <c r="F161" s="1"/>
      <c r="G161" s="1"/>
      <c r="H161" s="1"/>
      <c r="I161" s="215" t="s">
        <v>59</v>
      </c>
      <c r="J161" s="215"/>
      <c r="K161" s="215"/>
      <c r="L161" s="80"/>
      <c r="M161" s="215" t="s">
        <v>597</v>
      </c>
      <c r="N161" s="215"/>
      <c r="O161" s="215"/>
      <c r="P161" s="80"/>
      <c r="Q161" s="215" t="s">
        <v>598</v>
      </c>
      <c r="R161" s="215"/>
      <c r="S161" s="215"/>
      <c r="T161" s="215" t="s">
        <v>287</v>
      </c>
      <c r="U161" s="215"/>
      <c r="V161" s="215"/>
      <c r="W161" s="215"/>
      <c r="X161" s="92"/>
      <c r="Y161" s="215" t="s">
        <v>253</v>
      </c>
      <c r="Z161" s="215"/>
      <c r="AA161" s="215"/>
      <c r="AC161" s="215" t="s">
        <v>253</v>
      </c>
      <c r="AD161" s="215"/>
      <c r="AE161" s="215"/>
      <c r="AF161" s="80"/>
      <c r="AG161" s="215" t="s">
        <v>61</v>
      </c>
      <c r="AH161" s="215"/>
      <c r="AI161" s="215"/>
      <c r="AJ161" s="215"/>
      <c r="AL161" s="96">
        <f>SUM(AL162:AL165)</f>
        <v>4</v>
      </c>
      <c r="AM161" s="96">
        <f t="shared" ref="AM161:AR161" si="9">SUM(AM162:AM167)</f>
        <v>6</v>
      </c>
      <c r="AN161" s="96">
        <f t="shared" si="9"/>
        <v>6</v>
      </c>
      <c r="AO161" s="96">
        <f t="shared" si="9"/>
        <v>0</v>
      </c>
      <c r="AP161" s="96">
        <f t="shared" si="9"/>
        <v>0</v>
      </c>
      <c r="AQ161" s="98">
        <f t="shared" si="9"/>
        <v>6</v>
      </c>
      <c r="AR161" s="96">
        <f t="shared" si="9"/>
        <v>6</v>
      </c>
      <c r="AS161" s="22"/>
      <c r="AT161" s="22"/>
      <c r="AU161" s="112"/>
    </row>
    <row r="162" spans="2:47" ht="15" customHeight="1" x14ac:dyDescent="0.3">
      <c r="C162" s="210">
        <f>Tables!$F$16</f>
        <v>6.02</v>
      </c>
      <c r="D162" s="210"/>
      <c r="G162" s="2" t="str">
        <f>Tables!$D$16</f>
        <v>(2-yr)</v>
      </c>
      <c r="H162" s="2"/>
      <c r="I162" s="185"/>
      <c r="J162" s="185"/>
      <c r="K162" s="185"/>
      <c r="L162" s="6"/>
      <c r="M162" s="185"/>
      <c r="N162" s="185"/>
      <c r="O162" s="185"/>
      <c r="Q162" s="185"/>
      <c r="R162" s="185"/>
      <c r="S162" s="185"/>
      <c r="U162" s="185"/>
      <c r="V162" s="185"/>
      <c r="W162" s="185"/>
      <c r="Y162" s="185"/>
      <c r="Z162" s="185"/>
      <c r="AA162" s="185"/>
      <c r="AC162" s="185"/>
      <c r="AD162" s="185"/>
      <c r="AE162" s="185"/>
      <c r="AG162" s="185"/>
      <c r="AH162" s="185"/>
      <c r="AI162" s="185"/>
      <c r="AL162" s="96">
        <f>IF(ISBLANK(U162),1,IF(U162&gt;W$138,1,0))</f>
        <v>1</v>
      </c>
      <c r="AM162" s="96">
        <f t="shared" ref="AM162:AM167" si="10">IF(ISBLANK(AC162),1,IF(AC162&gt;$AM$170,1,0))</f>
        <v>1</v>
      </c>
      <c r="AN162" s="96">
        <f t="shared" ref="AN162:AN167" si="11">IF(OR(ISBLANK(AG162),ISBLANK(I162)),1,IF(AG162&gt;I162,1,0))</f>
        <v>1</v>
      </c>
      <c r="AO162" s="96">
        <f t="shared" ref="AO162:AO167" si="12">IF(OR($AN$180=0,$AN$198=2),0,IF($AG162&gt;$AN$180,1,0))</f>
        <v>0</v>
      </c>
      <c r="AP162" s="96">
        <f t="shared" ref="AP162:AP167" si="13">IF(OR($AN$182=0,$AN$198=2),0,IF($AG162&gt;$AN$182,1,0))</f>
        <v>0</v>
      </c>
      <c r="AQ162" s="98">
        <f t="shared" ref="AQ162:AQ167" si="14">IF(OR(ISBLANK(I162),ISBLANK(AG162)),1,IF(AG162-I162&gt;-0.5,1,0))</f>
        <v>1</v>
      </c>
      <c r="AR162" s="96">
        <f t="shared" ref="AR162:AR167" si="15">IF(ISBLANK(Y162),1,IF(Y162&gt;$AM$170,1,0))</f>
        <v>1</v>
      </c>
      <c r="AS162" s="22"/>
      <c r="AT162" s="22"/>
      <c r="AU162" s="112"/>
    </row>
    <row r="163" spans="2:47" ht="15" customHeight="1" x14ac:dyDescent="0.3">
      <c r="C163" s="210">
        <f>Tables!$F$17</f>
        <v>7.68</v>
      </c>
      <c r="D163" s="210"/>
      <c r="G163" s="2" t="str">
        <f>Tables!$D$17</f>
        <v>(5-yr)</v>
      </c>
      <c r="H163" s="2"/>
      <c r="I163" s="183"/>
      <c r="J163" s="183"/>
      <c r="K163" s="183"/>
      <c r="L163" s="6"/>
      <c r="M163" s="183"/>
      <c r="N163" s="183"/>
      <c r="O163" s="183"/>
      <c r="Q163" s="183"/>
      <c r="R163" s="183"/>
      <c r="S163" s="183"/>
      <c r="U163" s="183"/>
      <c r="V163" s="183"/>
      <c r="W163" s="183"/>
      <c r="Y163" s="183"/>
      <c r="Z163" s="183"/>
      <c r="AA163" s="183"/>
      <c r="AC163" s="183"/>
      <c r="AD163" s="183"/>
      <c r="AE163" s="183"/>
      <c r="AG163" s="183"/>
      <c r="AH163" s="183"/>
      <c r="AI163" s="183"/>
      <c r="AL163" s="96">
        <f>IF(ISBLANK(U163),1,IF(U163&gt;W$138,1,0))</f>
        <v>1</v>
      </c>
      <c r="AM163" s="96">
        <f t="shared" si="10"/>
        <v>1</v>
      </c>
      <c r="AN163" s="96">
        <f t="shared" si="11"/>
        <v>1</v>
      </c>
      <c r="AO163" s="96">
        <f t="shared" si="12"/>
        <v>0</v>
      </c>
      <c r="AP163" s="96">
        <f t="shared" si="13"/>
        <v>0</v>
      </c>
      <c r="AQ163" s="98">
        <f t="shared" si="14"/>
        <v>1</v>
      </c>
      <c r="AR163" s="96">
        <f t="shared" si="15"/>
        <v>1</v>
      </c>
      <c r="AS163" s="22"/>
      <c r="AT163" s="22"/>
      <c r="AU163" s="112"/>
    </row>
    <row r="164" spans="2:47" ht="15" customHeight="1" x14ac:dyDescent="0.3">
      <c r="C164" s="210">
        <f>Tables!$F$18</f>
        <v>9.26</v>
      </c>
      <c r="D164" s="210"/>
      <c r="G164" s="2" t="str">
        <f>Tables!$D$18</f>
        <v>(10-yr)</v>
      </c>
      <c r="H164" s="2"/>
      <c r="I164" s="183"/>
      <c r="J164" s="183"/>
      <c r="K164" s="183"/>
      <c r="L164" s="6"/>
      <c r="M164" s="183"/>
      <c r="N164" s="183"/>
      <c r="O164" s="183"/>
      <c r="Q164" s="183"/>
      <c r="R164" s="183"/>
      <c r="S164" s="183"/>
      <c r="U164" s="183"/>
      <c r="V164" s="183"/>
      <c r="W164" s="183"/>
      <c r="Y164" s="183"/>
      <c r="Z164" s="183"/>
      <c r="AA164" s="183"/>
      <c r="AC164" s="183"/>
      <c r="AD164" s="183"/>
      <c r="AE164" s="183"/>
      <c r="AG164" s="183"/>
      <c r="AH164" s="183"/>
      <c r="AI164" s="183"/>
      <c r="AL164" s="96">
        <f>IF(ISBLANK(U164),1,IF(U164&gt;W$138,1,0))</f>
        <v>1</v>
      </c>
      <c r="AM164" s="96">
        <f t="shared" si="10"/>
        <v>1</v>
      </c>
      <c r="AN164" s="96">
        <f t="shared" si="11"/>
        <v>1</v>
      </c>
      <c r="AO164" s="96">
        <f t="shared" si="12"/>
        <v>0</v>
      </c>
      <c r="AP164" s="96">
        <f t="shared" si="13"/>
        <v>0</v>
      </c>
      <c r="AQ164" s="98">
        <f t="shared" si="14"/>
        <v>1</v>
      </c>
      <c r="AR164" s="96">
        <f t="shared" si="15"/>
        <v>1</v>
      </c>
      <c r="AS164" s="22"/>
      <c r="AT164" s="22"/>
      <c r="AU164" s="112"/>
    </row>
    <row r="165" spans="2:47" ht="15" customHeight="1" x14ac:dyDescent="0.3">
      <c r="C165" s="210">
        <f>Tables!$F$19</f>
        <v>11.7</v>
      </c>
      <c r="D165" s="210"/>
      <c r="G165" s="2" t="str">
        <f>Tables!$D$19</f>
        <v>(25-yr)</v>
      </c>
      <c r="H165" s="2"/>
      <c r="I165" s="183"/>
      <c r="J165" s="183"/>
      <c r="K165" s="183"/>
      <c r="L165" s="6"/>
      <c r="M165" s="183"/>
      <c r="N165" s="183"/>
      <c r="O165" s="183"/>
      <c r="Q165" s="183"/>
      <c r="R165" s="183"/>
      <c r="S165" s="183"/>
      <c r="U165" s="183"/>
      <c r="V165" s="183"/>
      <c r="W165" s="183"/>
      <c r="Y165" s="183"/>
      <c r="Z165" s="183"/>
      <c r="AA165" s="183"/>
      <c r="AC165" s="183"/>
      <c r="AD165" s="183"/>
      <c r="AE165" s="183"/>
      <c r="AG165" s="183"/>
      <c r="AH165" s="183"/>
      <c r="AI165" s="183"/>
      <c r="AL165" s="96">
        <f>IF(ISBLANK(U165),1,IF(U165&gt;W$138,1,0))</f>
        <v>1</v>
      </c>
      <c r="AM165" s="96">
        <f t="shared" si="10"/>
        <v>1</v>
      </c>
      <c r="AN165" s="96">
        <f t="shared" si="11"/>
        <v>1</v>
      </c>
      <c r="AO165" s="96">
        <f t="shared" si="12"/>
        <v>0</v>
      </c>
      <c r="AP165" s="96">
        <f t="shared" si="13"/>
        <v>0</v>
      </c>
      <c r="AQ165" s="98">
        <f t="shared" si="14"/>
        <v>1</v>
      </c>
      <c r="AR165" s="96">
        <f t="shared" si="15"/>
        <v>1</v>
      </c>
      <c r="AS165" s="22"/>
      <c r="AT165" s="22"/>
      <c r="AU165" s="112"/>
    </row>
    <row r="166" spans="2:47" ht="15" customHeight="1" x14ac:dyDescent="0.3">
      <c r="C166" s="210">
        <f>Tables!$F$20</f>
        <v>13.9</v>
      </c>
      <c r="D166" s="210"/>
      <c r="G166" s="2" t="str">
        <f>Tables!$D$20</f>
        <v>(50-yr)</v>
      </c>
      <c r="H166" s="2"/>
      <c r="I166" s="183"/>
      <c r="J166" s="183"/>
      <c r="K166" s="183"/>
      <c r="L166" s="6"/>
      <c r="M166" s="183"/>
      <c r="N166" s="183"/>
      <c r="O166" s="183"/>
      <c r="Q166" s="183"/>
      <c r="R166" s="183"/>
      <c r="S166" s="183"/>
      <c r="U166" s="183"/>
      <c r="V166" s="183"/>
      <c r="W166" s="183"/>
      <c r="Y166" s="183"/>
      <c r="Z166" s="183"/>
      <c r="AA166" s="183"/>
      <c r="AC166" s="183"/>
      <c r="AD166" s="183"/>
      <c r="AE166" s="183"/>
      <c r="AG166" s="183"/>
      <c r="AH166" s="183"/>
      <c r="AI166" s="183"/>
      <c r="AL166" s="100">
        <f>IF(OR(ISBLANK($AF$138),ISBLANK(U166)),0,$AF$138-U166)</f>
        <v>0</v>
      </c>
      <c r="AM166" s="96">
        <f t="shared" si="10"/>
        <v>1</v>
      </c>
      <c r="AN166" s="96">
        <f t="shared" si="11"/>
        <v>1</v>
      </c>
      <c r="AO166" s="96">
        <f t="shared" si="12"/>
        <v>0</v>
      </c>
      <c r="AP166" s="96">
        <f t="shared" si="13"/>
        <v>0</v>
      </c>
      <c r="AQ166" s="98">
        <f t="shared" si="14"/>
        <v>1</v>
      </c>
      <c r="AR166" s="96">
        <f t="shared" si="15"/>
        <v>1</v>
      </c>
      <c r="AS166" s="22"/>
      <c r="AT166" s="22"/>
      <c r="AU166" s="112"/>
    </row>
    <row r="167" spans="2:47" ht="15" customHeight="1" x14ac:dyDescent="0.3">
      <c r="C167" s="210">
        <f>Tables!$F$21</f>
        <v>16.3</v>
      </c>
      <c r="D167" s="210"/>
      <c r="G167" s="2" t="str">
        <f>Tables!$D$21</f>
        <v>(100-yr)</v>
      </c>
      <c r="H167" s="2"/>
      <c r="I167" s="183"/>
      <c r="J167" s="183"/>
      <c r="K167" s="183"/>
      <c r="L167" s="6"/>
      <c r="M167" s="183"/>
      <c r="N167" s="183"/>
      <c r="O167" s="183"/>
      <c r="Q167" s="183"/>
      <c r="R167" s="183"/>
      <c r="S167" s="183"/>
      <c r="U167" s="183"/>
      <c r="V167" s="183"/>
      <c r="W167" s="183"/>
      <c r="Y167" s="183"/>
      <c r="Z167" s="183"/>
      <c r="AA167" s="183"/>
      <c r="AC167" s="183"/>
      <c r="AD167" s="183"/>
      <c r="AE167" s="183"/>
      <c r="AG167" s="183"/>
      <c r="AH167" s="183"/>
      <c r="AI167" s="183"/>
      <c r="AL167" s="100">
        <f>IF(OR(ISBLANK($AF$138),ISBLANK(U167)),0,$AF$138-U167)</f>
        <v>0</v>
      </c>
      <c r="AM167" s="96">
        <f t="shared" si="10"/>
        <v>1</v>
      </c>
      <c r="AN167" s="96">
        <f t="shared" si="11"/>
        <v>1</v>
      </c>
      <c r="AO167" s="96">
        <f t="shared" si="12"/>
        <v>0</v>
      </c>
      <c r="AP167" s="96">
        <f t="shared" si="13"/>
        <v>0</v>
      </c>
      <c r="AQ167" s="98">
        <f t="shared" si="14"/>
        <v>1</v>
      </c>
      <c r="AR167" s="96">
        <f t="shared" si="15"/>
        <v>1</v>
      </c>
      <c r="AS167" s="22"/>
      <c r="AT167" s="22"/>
      <c r="AU167" s="112"/>
    </row>
    <row r="168" spans="2:47" ht="15" customHeight="1" x14ac:dyDescent="0.3">
      <c r="I168" s="28" t="s">
        <v>599</v>
      </c>
      <c r="S168" s="28" t="s">
        <v>451</v>
      </c>
      <c r="AC168" s="28" t="s">
        <v>452</v>
      </c>
    </row>
    <row r="169" spans="2:47" ht="15" customHeight="1" x14ac:dyDescent="0.3">
      <c r="B169" s="5" t="s">
        <v>20</v>
      </c>
    </row>
    <row r="170" spans="2:47" ht="15" customHeight="1" x14ac:dyDescent="0.3">
      <c r="B170" s="217"/>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9"/>
      <c r="AL170" s="72" t="s">
        <v>297</v>
      </c>
      <c r="AM170" s="100">
        <f>Tables!F26</f>
        <v>6</v>
      </c>
      <c r="AN170" s="213" t="s">
        <v>436</v>
      </c>
      <c r="AO170" s="214"/>
    </row>
    <row r="171" spans="2:47" ht="15" customHeight="1" x14ac:dyDescent="0.3">
      <c r="B171" s="220"/>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2"/>
      <c r="AN171" s="118" t="s">
        <v>434</v>
      </c>
      <c r="AO171" s="119" t="s">
        <v>144</v>
      </c>
    </row>
    <row r="172" spans="2:47" ht="15" customHeight="1" x14ac:dyDescent="0.3">
      <c r="B172" s="220"/>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2"/>
      <c r="AN172" s="120">
        <v>2</v>
      </c>
      <c r="AO172" s="121">
        <f t="shared" ref="AO172:AO177" si="16">I162</f>
        <v>0</v>
      </c>
    </row>
    <row r="173" spans="2:47" ht="15" customHeight="1" x14ac:dyDescent="0.3">
      <c r="B173" s="220"/>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2"/>
      <c r="AN173" s="120">
        <v>5</v>
      </c>
      <c r="AO173" s="121">
        <f t="shared" si="16"/>
        <v>0</v>
      </c>
    </row>
    <row r="174" spans="2:47" ht="15" customHeight="1" x14ac:dyDescent="0.3">
      <c r="B174" s="220"/>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2"/>
      <c r="AN174" s="120">
        <v>10</v>
      </c>
      <c r="AO174" s="121">
        <f t="shared" si="16"/>
        <v>0</v>
      </c>
    </row>
    <row r="175" spans="2:47" ht="15" customHeight="1" x14ac:dyDescent="0.3">
      <c r="B175" s="220"/>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2"/>
      <c r="AN175" s="120">
        <v>25</v>
      </c>
      <c r="AO175" s="121">
        <f t="shared" si="16"/>
        <v>0</v>
      </c>
    </row>
    <row r="176" spans="2:47" ht="15" customHeight="1" x14ac:dyDescent="0.3">
      <c r="B176" s="223"/>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c r="AI176" s="224"/>
      <c r="AJ176" s="225"/>
      <c r="AN176" s="120">
        <v>50</v>
      </c>
      <c r="AO176" s="121">
        <f t="shared" si="16"/>
        <v>0</v>
      </c>
      <c r="AR176" s="13" t="s">
        <v>514</v>
      </c>
    </row>
    <row r="177" spans="2:46" ht="15" customHeight="1" x14ac:dyDescent="0.3">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N177" s="122">
        <v>100</v>
      </c>
      <c r="AO177" s="123">
        <f t="shared" si="16"/>
        <v>0</v>
      </c>
      <c r="AR177" s="99" t="str">
        <f>IF(AO182="No","2, 5, 10, 25, 50, and 100",IF(R196&gt;0,R196,IF(AT182=0,AP182,IF(AT182=1,AP180,IF(AT182=2,AP182,IF(AT182=3,Tables!F35,""))))))</f>
        <v>2, 5, 10, 25, 50, and 100</v>
      </c>
      <c r="AS177" s="100" t="str">
        <f>IF(AO182="No","2, 5, 10, 25, 50, and 100",IF(R196&gt;0,AL196,IF(AT182=0,AS182,IF(AT182=1,AS180,IF(AT182=2,AS182,IF(AT182=3,Tables!F36,""))))))</f>
        <v>2, 5, 10, 25, 50, and 100</v>
      </c>
    </row>
    <row r="178" spans="2:46" ht="15" customHeight="1" x14ac:dyDescent="0.3">
      <c r="B178" s="1" t="s">
        <v>379</v>
      </c>
      <c r="AJ178" s="146">
        <f>IF(ISBLANK(C182),0,IF(AO182="Yes","Detain the "&amp;AS177&amp;"-yr storm events to a "&amp;AR177&amp;"-yr discharge.",""))</f>
        <v>0</v>
      </c>
      <c r="AN178" s="22" t="s">
        <v>144</v>
      </c>
      <c r="AO178" s="22" t="s">
        <v>433</v>
      </c>
      <c r="AP178" s="22" t="s">
        <v>434</v>
      </c>
      <c r="AQ178" s="22" t="s">
        <v>435</v>
      </c>
    </row>
    <row r="179" spans="2:46" ht="4.95" customHeight="1" x14ac:dyDescent="0.3"/>
    <row r="180" spans="2:46" ht="15" customHeight="1" x14ac:dyDescent="0.3">
      <c r="C180" s="62"/>
      <c r="D180" s="28" t="s">
        <v>117</v>
      </c>
      <c r="F180" s="62"/>
      <c r="G180" s="28" t="s">
        <v>118</v>
      </c>
      <c r="I180" s="28" t="s">
        <v>384</v>
      </c>
      <c r="Y180" s="82"/>
      <c r="AL180" s="96">
        <f>IF(AND(ISBLANK(C180),ISBLANK(F180)),1,2)</f>
        <v>1</v>
      </c>
      <c r="AM180" s="96">
        <f>IF(ISBLANK(C180),1,2)</f>
        <v>1</v>
      </c>
      <c r="AN180" s="100">
        <f>IF($AO$180="Yes",IF($AM$180=2,$AQ$180,0),0)</f>
        <v>0</v>
      </c>
      <c r="AO180" s="96" t="str">
        <f>Tables!F29</f>
        <v>No</v>
      </c>
      <c r="AP180" s="99">
        <f>Tables!F30</f>
        <v>2</v>
      </c>
      <c r="AQ180" s="100">
        <f>VLOOKUP(AP180,$AN$172:$AO$177,2)</f>
        <v>0</v>
      </c>
      <c r="AS180" s="99" t="str">
        <f>Tables!F31</f>
        <v>2, 5, 10, 25, 50, and 100</v>
      </c>
      <c r="AT180" s="127"/>
    </row>
    <row r="181" spans="2:46" ht="4.95" customHeight="1" x14ac:dyDescent="0.3"/>
    <row r="182" spans="2:46" ht="15" customHeight="1" x14ac:dyDescent="0.3">
      <c r="C182" s="62"/>
      <c r="D182" s="28" t="s">
        <v>117</v>
      </c>
      <c r="F182" s="62"/>
      <c r="G182" s="28" t="s">
        <v>118</v>
      </c>
      <c r="I182" s="28" t="s">
        <v>385</v>
      </c>
      <c r="Y182" s="82"/>
      <c r="AL182" s="96">
        <f>IF(AND(ISBLANK(C182),ISBLANK(F182)),1,2)</f>
        <v>1</v>
      </c>
      <c r="AM182" s="96">
        <f>IF(ISBLANK(C182),1,2)</f>
        <v>1</v>
      </c>
      <c r="AN182" s="100">
        <f>IF($AO$182="Yes",IF($AM$182=2,$AQ$182,0),0)</f>
        <v>0</v>
      </c>
      <c r="AO182" s="96" t="str">
        <f>Tables!F32</f>
        <v>No</v>
      </c>
      <c r="AP182" s="99">
        <f>IF(ISBLANK(R196),Tables!F33,R196)</f>
        <v>2</v>
      </c>
      <c r="AQ182" s="100">
        <f>VLOOKUP(AP182,$AN$172:$AO$177,2)</f>
        <v>0</v>
      </c>
      <c r="AS182" s="100" t="str">
        <f>Tables!F34</f>
        <v>2, 5, 10, 25, 50, and 100</v>
      </c>
      <c r="AT182" s="145">
        <f>IF(AND(ISBLANK(C180),ISBLANK(C182)),0,IF(AND(LEN(C180)&gt;0,ISBLANK(C182)),1,IF(AND(ISBLANK(C180),LEN(C182)&gt;0),2,3)))</f>
        <v>0</v>
      </c>
    </row>
    <row r="183" spans="2:46" ht="4.95" customHeight="1" x14ac:dyDescent="0.3"/>
    <row r="184" spans="2:46" ht="15" customHeight="1" x14ac:dyDescent="0.3">
      <c r="I184" s="62"/>
      <c r="J184" s="28" t="s">
        <v>117</v>
      </c>
      <c r="L184" s="62"/>
      <c r="M184" s="28" t="s">
        <v>118</v>
      </c>
      <c r="O184" s="28" t="s">
        <v>511</v>
      </c>
      <c r="AL184" s="96">
        <f>IF(AND(ISBLANK(I184),ISBLANK(L184)),1,2)</f>
        <v>1</v>
      </c>
      <c r="AM184" s="96">
        <f>IF(ISBLANK(L184),1,2)</f>
        <v>1</v>
      </c>
    </row>
    <row r="185" spans="2:46" ht="4.95" customHeight="1" x14ac:dyDescent="0.3"/>
    <row r="186" spans="2:46" ht="15" customHeight="1" x14ac:dyDescent="0.3">
      <c r="I186" s="62"/>
      <c r="J186" s="28" t="s">
        <v>117</v>
      </c>
      <c r="L186" s="62"/>
      <c r="M186" s="28" t="s">
        <v>118</v>
      </c>
      <c r="O186" s="28" t="s">
        <v>512</v>
      </c>
      <c r="AL186" s="96">
        <f>IF(AND(ISBLANK(I186),ISBLANK(L186)),1,2)</f>
        <v>1</v>
      </c>
      <c r="AM186" s="96">
        <f>IF(ISBLANK(I186),1,2)</f>
        <v>1</v>
      </c>
    </row>
    <row r="187" spans="2:46" ht="4.95" customHeight="1" x14ac:dyDescent="0.3"/>
    <row r="188" spans="2:46" ht="15" customHeight="1" x14ac:dyDescent="0.3">
      <c r="O188" s="62"/>
      <c r="P188" s="28" t="s">
        <v>117</v>
      </c>
      <c r="R188" s="62"/>
      <c r="S188" s="28" t="s">
        <v>118</v>
      </c>
      <c r="U188" s="28" t="s">
        <v>513</v>
      </c>
      <c r="AL188" s="96">
        <f>IF(AND(ISBLANK(O188),ISBLANK(R188)),1,2)</f>
        <v>1</v>
      </c>
      <c r="AM188" s="96">
        <f>IF(ISBLANK(R188),1,2)</f>
        <v>1</v>
      </c>
    </row>
    <row r="189" spans="2:46" ht="4.95" customHeight="1" x14ac:dyDescent="0.3"/>
    <row r="190" spans="2:46" ht="15" customHeight="1" x14ac:dyDescent="0.3">
      <c r="O190" s="62"/>
      <c r="P190" s="28" t="s">
        <v>117</v>
      </c>
      <c r="R190" s="62"/>
      <c r="S190" s="28" t="s">
        <v>118</v>
      </c>
      <c r="U190" s="28" t="s">
        <v>564</v>
      </c>
      <c r="AL190" s="96">
        <f>IF(AND(ISBLANK(O190),ISBLANK(R190)),1,2)</f>
        <v>1</v>
      </c>
      <c r="AM190" s="96">
        <f>IF(ISBLANK(R190),1,2)</f>
        <v>1</v>
      </c>
    </row>
    <row r="191" spans="2:46" ht="4.95" customHeight="1" x14ac:dyDescent="0.3"/>
    <row r="192" spans="2:46" ht="15" customHeight="1" x14ac:dyDescent="0.3">
      <c r="I192" s="62"/>
      <c r="J192" s="28" t="s">
        <v>117</v>
      </c>
      <c r="L192" s="62"/>
      <c r="M192" s="28" t="s">
        <v>118</v>
      </c>
      <c r="O192" s="28" t="str">
        <f>"The "&amp;Tables!$F$23&amp;" will allow a different post release rate design storm."</f>
        <v>The County will allow a different post release rate design storm.</v>
      </c>
      <c r="AL192" s="96">
        <f>IF(AND(ISBLANK(I192),ISBLANK(L192)),1,2)</f>
        <v>1</v>
      </c>
      <c r="AM192" s="96">
        <f>IF(ISBLANK(I192),1,2)</f>
        <v>1</v>
      </c>
    </row>
    <row r="193" spans="3:43" ht="4.95" customHeight="1" x14ac:dyDescent="0.3"/>
    <row r="194" spans="3:43" ht="15" customHeight="1" x14ac:dyDescent="0.3">
      <c r="O194" s="62"/>
      <c r="P194" s="28" t="s">
        <v>117</v>
      </c>
      <c r="R194" s="62"/>
      <c r="S194" s="28" t="s">
        <v>118</v>
      </c>
      <c r="U194" s="28" t="str">
        <f>"Written approval from the "&amp;Tables!$F$23&amp;" is attached?"</f>
        <v>Written approval from the County is attached?</v>
      </c>
      <c r="AL194" s="96">
        <f>IF(AND(ISBLANK(O194),ISBLANK(R194)),1,2)</f>
        <v>1</v>
      </c>
      <c r="AM194" s="96">
        <f>IF(ISBLANK(R194),1,2)</f>
        <v>1</v>
      </c>
    </row>
    <row r="195" spans="3:43" ht="4.95" customHeight="1" x14ac:dyDescent="0.3"/>
    <row r="196" spans="3:43" ht="15" customHeight="1" x14ac:dyDescent="0.3">
      <c r="R196" s="171"/>
      <c r="S196" s="170" t="s">
        <v>563</v>
      </c>
      <c r="U196" s="28" t="str">
        <f>"Post release rate design storm allowed by the "&amp;Tables!$F$23&amp;"."</f>
        <v>Post release rate design storm allowed by the County.</v>
      </c>
      <c r="AL196" s="228">
        <f>IF(ISBLANK(R196),0,VLOOKUP(R196,Storms[],2))</f>
        <v>0</v>
      </c>
      <c r="AM196" s="229"/>
    </row>
    <row r="197" spans="3:43" ht="4.95" customHeight="1" x14ac:dyDescent="0.3"/>
    <row r="198" spans="3:43" ht="15" customHeight="1" x14ac:dyDescent="0.3">
      <c r="C198" s="62"/>
      <c r="D198" s="28" t="s">
        <v>117</v>
      </c>
      <c r="F198" s="62"/>
      <c r="G198" s="28" t="s">
        <v>118</v>
      </c>
      <c r="I198" s="28" t="str">
        <f>"Does the project have "&amp;Tables!F37&amp;" for the adjacent property?"</f>
        <v>Does the project have Drainage Rights for the adjacent property?</v>
      </c>
      <c r="AL198" s="96">
        <f>IF(AND(ISBLANK(C198),ISBLANK(F198)),1,2)</f>
        <v>1</v>
      </c>
      <c r="AM198" s="96">
        <f>IF(ISBLANK(F198),1,2)</f>
        <v>1</v>
      </c>
      <c r="AN198" s="96">
        <f>IF(ISBLANK(C198),1,2)</f>
        <v>1</v>
      </c>
      <c r="AO198" s="96">
        <f>IF(ISBLANK(C180),0,2)</f>
        <v>0</v>
      </c>
      <c r="AP198" s="96">
        <f>IF(ISBLANK(C182),0,2)</f>
        <v>0</v>
      </c>
      <c r="AQ198" s="96">
        <f>IF(ISBLANK(F198),0,SUM(AO198:AP198))</f>
        <v>0</v>
      </c>
    </row>
    <row r="199" spans="3:43" ht="4.95" customHeight="1" x14ac:dyDescent="0.3"/>
    <row r="200" spans="3:43" ht="15" customHeight="1" x14ac:dyDescent="0.3">
      <c r="C200" s="62"/>
      <c r="D200" s="28" t="s">
        <v>117</v>
      </c>
      <c r="F200" s="62"/>
      <c r="G200" s="28" t="s">
        <v>118</v>
      </c>
      <c r="I200" s="28" t="s">
        <v>419</v>
      </c>
      <c r="AL200" s="96">
        <f>IF(AND(ISBLANK(C200),ISBLANK(F200)),1,2)</f>
        <v>1</v>
      </c>
      <c r="AM200" s="96">
        <f>IF(ISBLANK(F200),1,2)</f>
        <v>1</v>
      </c>
    </row>
    <row r="201" spans="3:43" ht="4.95" customHeight="1" x14ac:dyDescent="0.3"/>
    <row r="202" spans="3:43" ht="15" customHeight="1" x14ac:dyDescent="0.3">
      <c r="C202" s="62"/>
      <c r="D202" s="28" t="s">
        <v>117</v>
      </c>
      <c r="F202" s="62"/>
      <c r="G202" s="28" t="s">
        <v>118</v>
      </c>
      <c r="I202" s="28" t="s">
        <v>420</v>
      </c>
      <c r="J202" s="4"/>
      <c r="K202" s="4"/>
      <c r="L202" s="4"/>
      <c r="AL202" s="96">
        <f>IF(AND(ISBLANK(C202),ISBLANK(F202)),1,2)</f>
        <v>1</v>
      </c>
      <c r="AM202" s="96">
        <f>IF(ISBLANK(C202),1,2)</f>
        <v>1</v>
      </c>
    </row>
    <row r="203" spans="3:43" ht="4.95" customHeight="1" x14ac:dyDescent="0.3">
      <c r="C203" s="4"/>
      <c r="D203" s="4"/>
      <c r="E203" s="4"/>
      <c r="F203" s="4"/>
      <c r="G203" s="4"/>
      <c r="H203" s="4"/>
      <c r="I203" s="4"/>
      <c r="J203" s="4"/>
      <c r="K203" s="4"/>
      <c r="L203" s="4"/>
    </row>
    <row r="204" spans="3:43" ht="15" customHeight="1" x14ac:dyDescent="0.3">
      <c r="I204" s="62"/>
      <c r="J204" s="28" t="s">
        <v>117</v>
      </c>
      <c r="L204" s="62"/>
      <c r="M204" s="28" t="s">
        <v>118</v>
      </c>
      <c r="N204" s="4"/>
      <c r="O204" s="28" t="s">
        <v>421</v>
      </c>
      <c r="AL204" s="96">
        <f>IF(ISBLANK(I204),1,2)</f>
        <v>1</v>
      </c>
      <c r="AM204" s="96">
        <f>IF(ISBLANK(L204),1,2)</f>
        <v>1</v>
      </c>
      <c r="AN204" s="96">
        <f>SUM(AL204:AM204)</f>
        <v>2</v>
      </c>
      <c r="AO204" s="22"/>
      <c r="AP204" s="22"/>
    </row>
    <row r="205" spans="3:43" ht="4.95" customHeight="1" x14ac:dyDescent="0.3"/>
    <row r="206" spans="3:43" ht="15" customHeight="1" x14ac:dyDescent="0.3">
      <c r="C206" s="62"/>
      <c r="D206" s="28" t="s">
        <v>117</v>
      </c>
      <c r="F206" s="62"/>
      <c r="G206" s="28" t="s">
        <v>118</v>
      </c>
      <c r="I206" s="28" t="s">
        <v>601</v>
      </c>
      <c r="J206" s="4"/>
      <c r="K206" s="4"/>
      <c r="L206" s="4"/>
      <c r="AL206" s="96">
        <f>IF(AND(ISBLANK(C206),ISBLANK(F206)),1,2)</f>
        <v>1</v>
      </c>
      <c r="AM206" s="96">
        <f>IF(ISBLANK(C206),1,2)</f>
        <v>1</v>
      </c>
    </row>
    <row r="207" spans="3:43" ht="15" customHeight="1" x14ac:dyDescent="0.3">
      <c r="I207" s="28" t="str">
        <f>IF(AND(AM206=2,Tables!$F$14="Prattville"),"The City shall waive the Permit Application Review Fee","")</f>
        <v/>
      </c>
    </row>
    <row r="208" spans="3:43" ht="15" customHeight="1" x14ac:dyDescent="0.3"/>
    <row r="209" spans="2:36" ht="15" customHeight="1" x14ac:dyDescent="0.3"/>
    <row r="210" spans="2:36" ht="15" customHeight="1" x14ac:dyDescent="0.3">
      <c r="B210" s="198">
        <f>Tables!$F$13</f>
        <v>45931</v>
      </c>
      <c r="C210" s="198"/>
      <c r="D210" s="198"/>
      <c r="E210" s="198"/>
      <c r="F210" s="198"/>
      <c r="G210" s="198"/>
      <c r="H210" s="198"/>
      <c r="R210" s="188" t="s">
        <v>307</v>
      </c>
      <c r="S210" s="188"/>
      <c r="T210" s="188"/>
      <c r="U210" s="188"/>
    </row>
    <row r="211" spans="2:36" ht="15" customHeight="1" x14ac:dyDescent="0.3">
      <c r="C211" s="2" t="s">
        <v>1</v>
      </c>
      <c r="D211" s="199">
        <f>IF(ISBLANK($E$7),0,$E$7)</f>
        <v>0</v>
      </c>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39"/>
      <c r="AD211" s="2" t="s">
        <v>19</v>
      </c>
      <c r="AE211" s="197">
        <f>IF(ISBLANK($AE$7),0,$AE$7)</f>
        <v>0</v>
      </c>
      <c r="AF211" s="197"/>
      <c r="AG211" s="197"/>
      <c r="AH211" s="197"/>
      <c r="AI211" s="197"/>
      <c r="AJ211" s="197"/>
    </row>
    <row r="212" spans="2:36" ht="15" customHeight="1" x14ac:dyDescent="0.3">
      <c r="C212" s="40"/>
      <c r="D212" s="40"/>
      <c r="E212" s="40"/>
      <c r="F212" s="40"/>
      <c r="G212" s="40"/>
      <c r="H212" s="40"/>
      <c r="I212" s="40"/>
      <c r="J212" s="2"/>
      <c r="K212" s="2"/>
      <c r="L212" s="2"/>
      <c r="M212" s="2"/>
      <c r="N212" s="40"/>
      <c r="O212" s="39"/>
      <c r="P212" s="39"/>
      <c r="Q212" s="39"/>
      <c r="R212" s="39"/>
      <c r="S212" s="39"/>
      <c r="T212" s="39"/>
      <c r="U212" s="39"/>
      <c r="V212" s="39"/>
      <c r="W212" s="39"/>
      <c r="X212" s="39"/>
      <c r="Y212" s="39"/>
      <c r="Z212" s="39"/>
      <c r="AD212" s="2" t="s">
        <v>32</v>
      </c>
      <c r="AE212" s="196">
        <f>IF(ISBLANK($AE$8),0,$AE$8)</f>
        <v>0</v>
      </c>
      <c r="AF212" s="196"/>
      <c r="AG212" s="196"/>
      <c r="AH212" s="196"/>
      <c r="AI212" s="196"/>
      <c r="AJ212" s="196"/>
    </row>
    <row r="213" spans="2:36" ht="15" customHeight="1" x14ac:dyDescent="0.3"/>
    <row r="214" spans="2:36" ht="15" customHeight="1" x14ac:dyDescent="0.3">
      <c r="B214" s="1" t="s">
        <v>17</v>
      </c>
      <c r="C214" s="1"/>
      <c r="D214" s="1"/>
      <c r="E214" s="1"/>
      <c r="F214" s="1"/>
      <c r="G214" s="1"/>
      <c r="H214" s="1"/>
      <c r="I214" s="1"/>
    </row>
    <row r="215" spans="2:36" ht="15" customHeight="1" x14ac:dyDescent="0.3">
      <c r="B215" s="86" t="s">
        <v>268</v>
      </c>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row>
    <row r="216" spans="2:36" ht="15" customHeight="1" x14ac:dyDescent="0.3">
      <c r="B216" s="60"/>
      <c r="C216" s="29" t="s">
        <v>106</v>
      </c>
      <c r="D216" s="86" t="str">
        <f>"Is designed in accordance with the latest version of the "&amp;Tables!F23&amp;"'s requirements;"</f>
        <v>Is designed in accordance with the latest version of the County's requirements;</v>
      </c>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row>
    <row r="217" spans="2:36" ht="15" customHeight="1" x14ac:dyDescent="0.3">
      <c r="B217" s="60"/>
      <c r="C217" s="29" t="s">
        <v>106</v>
      </c>
      <c r="D217" s="86" t="s">
        <v>266</v>
      </c>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row>
    <row r="218" spans="2:36" ht="15" customHeight="1" x14ac:dyDescent="0.3">
      <c r="B218" s="60"/>
      <c r="C218" s="29" t="s">
        <v>106</v>
      </c>
      <c r="D218" s="86" t="s">
        <v>484</v>
      </c>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row>
    <row r="219" spans="2:36" ht="15" customHeight="1" x14ac:dyDescent="0.3">
      <c r="B219" s="60"/>
      <c r="C219" s="29"/>
      <c r="D219" s="86" t="s">
        <v>485</v>
      </c>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row>
    <row r="220" spans="2:36" ht="15" customHeight="1" x14ac:dyDescent="0.3">
      <c r="B220" s="60"/>
      <c r="C220" s="29" t="s">
        <v>106</v>
      </c>
      <c r="D220" s="86" t="s">
        <v>277</v>
      </c>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86"/>
    </row>
    <row r="221" spans="2:36" ht="15" customHeight="1" x14ac:dyDescent="0.3">
      <c r="B221" s="60"/>
      <c r="C221" s="29"/>
      <c r="D221" s="86" t="s">
        <v>278</v>
      </c>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row>
    <row r="222" spans="2:36" ht="15" customHeight="1" x14ac:dyDescent="0.3">
      <c r="B222" s="60"/>
      <c r="C222" s="29" t="s">
        <v>106</v>
      </c>
      <c r="D222" s="86" t="s">
        <v>267</v>
      </c>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row>
    <row r="223" spans="2:36" ht="15" customHeight="1" x14ac:dyDescent="0.3">
      <c r="B223" s="60"/>
      <c r="C223" s="29"/>
      <c r="D223" s="86"/>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row>
    <row r="224" spans="2:36" ht="15" customHeight="1" x14ac:dyDescent="0.3">
      <c r="B224" s="60"/>
      <c r="C224" s="29"/>
      <c r="D224" s="86"/>
      <c r="E224" s="2" t="s">
        <v>174</v>
      </c>
      <c r="F224" s="182"/>
      <c r="G224" s="182"/>
      <c r="H224" s="182"/>
      <c r="I224" s="182"/>
      <c r="J224" s="182"/>
      <c r="K224" s="182"/>
      <c r="L224" s="182"/>
      <c r="M224" s="182"/>
      <c r="N224" s="182"/>
      <c r="O224" s="182"/>
      <c r="P224" s="182"/>
      <c r="Q224" s="182"/>
      <c r="R224" s="182"/>
      <c r="S224" s="182"/>
      <c r="T224" s="182"/>
      <c r="U224" s="182"/>
      <c r="V224" s="182"/>
      <c r="W224" s="182"/>
      <c r="X224" s="182"/>
      <c r="Y224" s="182"/>
      <c r="Z224" s="182"/>
      <c r="AC224" s="2" t="s">
        <v>316</v>
      </c>
      <c r="AD224" s="2"/>
      <c r="AE224" s="2"/>
      <c r="AF224" s="2"/>
    </row>
    <row r="225" spans="2:38" ht="15" customHeight="1" x14ac:dyDescent="0.3">
      <c r="E225" s="2" t="s">
        <v>128</v>
      </c>
      <c r="F225" s="200"/>
      <c r="G225" s="200"/>
      <c r="H225" s="200"/>
      <c r="I225" s="200"/>
      <c r="J225" s="200"/>
      <c r="K225" s="200"/>
      <c r="L225" s="200"/>
      <c r="M225" s="200"/>
      <c r="N225" s="200"/>
      <c r="O225" s="200"/>
      <c r="P225" s="200"/>
      <c r="Q225" s="200"/>
      <c r="R225" s="200"/>
      <c r="S225" s="200"/>
      <c r="T225" s="200"/>
      <c r="U225" s="200"/>
      <c r="V225" s="200"/>
      <c r="W225" s="200"/>
      <c r="X225" s="200"/>
      <c r="Y225" s="200"/>
      <c r="Z225" s="200"/>
    </row>
    <row r="226" spans="2:38" ht="15" customHeight="1" x14ac:dyDescent="0.3">
      <c r="E226" s="2" t="s">
        <v>129</v>
      </c>
      <c r="F226" s="200"/>
      <c r="G226" s="200"/>
      <c r="H226" s="200"/>
      <c r="I226" s="200"/>
      <c r="J226" s="200"/>
      <c r="K226" s="200"/>
      <c r="L226" s="200"/>
      <c r="M226" s="200"/>
      <c r="N226" s="200"/>
      <c r="O226" s="200"/>
      <c r="P226" s="200"/>
      <c r="Q226" s="200"/>
      <c r="R226" s="200"/>
      <c r="S226" s="200"/>
      <c r="T226" s="200"/>
      <c r="U226" s="200"/>
      <c r="V226" s="200"/>
      <c r="W226" s="200"/>
      <c r="X226" s="200"/>
      <c r="Y226" s="200"/>
      <c r="Z226" s="200"/>
    </row>
    <row r="227" spans="2:38" ht="15" customHeight="1" x14ac:dyDescent="0.3">
      <c r="E227" s="2" t="s">
        <v>314</v>
      </c>
      <c r="F227" s="200"/>
      <c r="G227" s="200"/>
      <c r="H227" s="200"/>
      <c r="I227" s="200"/>
      <c r="J227" s="200"/>
      <c r="K227" s="200"/>
      <c r="L227" s="200"/>
      <c r="M227" s="68"/>
      <c r="N227" s="68"/>
      <c r="O227" s="103" t="s">
        <v>132</v>
      </c>
      <c r="P227" s="200"/>
      <c r="Q227" s="200"/>
      <c r="R227" s="200"/>
      <c r="S227" s="200"/>
      <c r="T227" s="68"/>
      <c r="U227" s="68"/>
      <c r="V227" s="68"/>
      <c r="W227" s="103" t="s">
        <v>133</v>
      </c>
      <c r="X227" s="201"/>
      <c r="Y227" s="201"/>
      <c r="Z227" s="201"/>
    </row>
    <row r="228" spans="2:38" ht="15" customHeight="1" x14ac:dyDescent="0.3">
      <c r="E228" s="2" t="s">
        <v>130</v>
      </c>
      <c r="F228" s="202"/>
      <c r="G228" s="202"/>
      <c r="H228" s="202"/>
      <c r="I228" s="202"/>
      <c r="J228" s="202"/>
      <c r="K228" s="202"/>
      <c r="L228" s="202"/>
      <c r="M228" s="202"/>
      <c r="N228" s="202"/>
      <c r="O228" s="202"/>
      <c r="P228" s="202"/>
      <c r="Q228" s="202"/>
      <c r="R228" s="202"/>
      <c r="S228" s="202"/>
      <c r="T228" s="202"/>
      <c r="U228" s="202"/>
      <c r="V228" s="202"/>
      <c r="W228" s="202"/>
      <c r="X228" s="202"/>
      <c r="Y228" s="202"/>
      <c r="Z228" s="202"/>
    </row>
    <row r="229" spans="2:38" ht="15" customHeight="1" x14ac:dyDescent="0.3">
      <c r="E229" s="2" t="s">
        <v>134</v>
      </c>
      <c r="F229" s="216"/>
      <c r="G229" s="216"/>
      <c r="H229" s="216"/>
      <c r="I229" s="216"/>
      <c r="J229" s="216"/>
      <c r="V229" s="60"/>
      <c r="W229" s="60"/>
      <c r="X229" s="60"/>
    </row>
    <row r="230" spans="2:38" ht="15" customHeight="1" x14ac:dyDescent="0.3">
      <c r="E230" s="2"/>
      <c r="F230" s="68"/>
      <c r="G230" s="68"/>
      <c r="H230" s="68"/>
      <c r="I230" s="68"/>
      <c r="J230" s="68"/>
      <c r="V230" s="60"/>
      <c r="W230" s="60"/>
      <c r="X230" s="60"/>
    </row>
    <row r="231" spans="2:38" ht="15" customHeight="1" x14ac:dyDescent="0.3">
      <c r="E231" s="2" t="s">
        <v>175</v>
      </c>
      <c r="F231" s="88"/>
      <c r="G231" s="88"/>
      <c r="H231" s="88"/>
      <c r="I231" s="88"/>
      <c r="J231" s="88"/>
      <c r="K231" s="88"/>
      <c r="L231" s="88"/>
      <c r="M231" s="88"/>
      <c r="N231" s="88"/>
      <c r="O231" s="88"/>
      <c r="P231" s="88"/>
      <c r="Q231" s="88"/>
      <c r="R231" s="88"/>
      <c r="S231" s="88"/>
      <c r="T231" s="88"/>
      <c r="U231" s="88"/>
      <c r="V231" s="60"/>
      <c r="W231" s="60"/>
      <c r="X231" s="60"/>
      <c r="AC231" s="2" t="s">
        <v>171</v>
      </c>
      <c r="AD231" s="195"/>
      <c r="AE231" s="195"/>
      <c r="AF231" s="195"/>
      <c r="AG231" s="195"/>
      <c r="AH231" s="195"/>
    </row>
    <row r="232" spans="2:38" ht="15" customHeight="1" x14ac:dyDescent="0.3"/>
    <row r="233" spans="2:38" ht="15" customHeight="1" x14ac:dyDescent="0.3">
      <c r="B233" s="43" t="s">
        <v>84</v>
      </c>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5"/>
      <c r="AL233" s="13" t="s">
        <v>289</v>
      </c>
    </row>
    <row r="234" spans="2:38" ht="15" customHeight="1" x14ac:dyDescent="0.3">
      <c r="B234" s="46"/>
      <c r="C234" s="8"/>
      <c r="D234" s="8"/>
      <c r="E234" s="8"/>
      <c r="F234" s="8"/>
      <c r="G234" s="8"/>
      <c r="H234" s="8"/>
      <c r="I234" s="8"/>
      <c r="J234" s="47" t="s">
        <v>85</v>
      </c>
      <c r="K234" s="47"/>
      <c r="L234" s="48" t="s">
        <v>188</v>
      </c>
      <c r="M234" s="47"/>
      <c r="N234" s="47"/>
      <c r="O234" s="47"/>
      <c r="P234" s="48"/>
      <c r="Q234" s="8"/>
      <c r="R234" s="8"/>
      <c r="S234" s="8"/>
      <c r="T234" s="8"/>
      <c r="U234" s="8"/>
      <c r="V234" s="8"/>
      <c r="W234" s="8"/>
      <c r="X234" s="8"/>
      <c r="Y234" s="8"/>
      <c r="Z234" s="8"/>
      <c r="AA234" s="8"/>
      <c r="AB234" s="8"/>
      <c r="AC234" s="8"/>
      <c r="AD234" s="8"/>
      <c r="AE234" s="8"/>
      <c r="AF234" s="8"/>
      <c r="AG234" s="8"/>
      <c r="AH234" s="8"/>
      <c r="AI234" s="8"/>
      <c r="AJ234" s="49"/>
      <c r="AL234" s="96">
        <f>SUM(AL236:AL251)</f>
        <v>12</v>
      </c>
    </row>
    <row r="235" spans="2:38" ht="15" customHeight="1" x14ac:dyDescent="0.3">
      <c r="B235" s="46"/>
      <c r="C235" s="8"/>
      <c r="D235" s="8"/>
      <c r="E235" s="8"/>
      <c r="F235" s="8"/>
      <c r="G235" s="8"/>
      <c r="H235" s="8"/>
      <c r="I235" s="8"/>
      <c r="J235" s="9" t="s">
        <v>475</v>
      </c>
      <c r="K235" s="9"/>
      <c r="L235" s="8" t="str">
        <f>IF(ISBLANK(AD6),Tables!J19,"")</f>
        <v>Parcel No. has not been provided</v>
      </c>
      <c r="M235" s="47"/>
      <c r="N235" s="47"/>
      <c r="O235" s="47"/>
      <c r="P235" s="48"/>
      <c r="Q235" s="8"/>
      <c r="R235" s="8"/>
      <c r="S235" s="8"/>
      <c r="T235" s="8"/>
      <c r="U235" s="8"/>
      <c r="V235" s="8"/>
      <c r="W235" s="8"/>
      <c r="X235" s="8"/>
      <c r="Y235" s="8"/>
      <c r="Z235" s="8"/>
      <c r="AA235" s="8"/>
      <c r="AB235" s="8"/>
      <c r="AC235" s="8"/>
      <c r="AD235" s="8"/>
      <c r="AE235" s="8"/>
      <c r="AF235" s="8"/>
      <c r="AG235" s="8"/>
      <c r="AH235" s="8"/>
      <c r="AI235" s="8"/>
      <c r="AJ235" s="49"/>
      <c r="AL235" s="96">
        <f>IF(L235="",0,1)</f>
        <v>1</v>
      </c>
    </row>
    <row r="236" spans="2:38" ht="15" customHeight="1" x14ac:dyDescent="0.3">
      <c r="B236" s="46"/>
      <c r="C236" s="8"/>
      <c r="D236" s="8"/>
      <c r="E236" s="8"/>
      <c r="F236" s="8"/>
      <c r="G236" s="8"/>
      <c r="H236" s="8"/>
      <c r="I236" s="8"/>
      <c r="J236" s="9" t="s">
        <v>86</v>
      </c>
      <c r="K236" s="9"/>
      <c r="L236" s="8" t="str">
        <f>IF(AND(AL28&lt;6,AM28=6),Tables!J2,IF(AND(AL28=6,AM28=6),"",Tables!J2))</f>
        <v>Pre Total not compeleted</v>
      </c>
      <c r="M236" s="9"/>
      <c r="N236" s="9"/>
      <c r="O236" s="9"/>
      <c r="P236" s="8"/>
      <c r="Q236" s="8"/>
      <c r="R236" s="8"/>
      <c r="S236" s="8"/>
      <c r="T236" s="8"/>
      <c r="U236" s="8"/>
      <c r="V236" s="8"/>
      <c r="W236" s="8"/>
      <c r="X236" s="8"/>
      <c r="Y236" s="8"/>
      <c r="Z236" s="8"/>
      <c r="AA236" s="8"/>
      <c r="AB236" s="8"/>
      <c r="AC236" s="8"/>
      <c r="AD236" s="8"/>
      <c r="AE236" s="8"/>
      <c r="AF236" s="8"/>
      <c r="AG236" s="8"/>
      <c r="AH236" s="8"/>
      <c r="AI236" s="8"/>
      <c r="AJ236" s="49"/>
      <c r="AL236" s="96">
        <f>IF(L236="",0,1)</f>
        <v>1</v>
      </c>
    </row>
    <row r="237" spans="2:38" ht="15" customHeight="1" x14ac:dyDescent="0.3">
      <c r="B237" s="46"/>
      <c r="C237" s="8"/>
      <c r="D237" s="8"/>
      <c r="E237" s="8"/>
      <c r="F237" s="8"/>
      <c r="G237" s="8"/>
      <c r="H237" s="8"/>
      <c r="I237" s="8"/>
      <c r="J237" s="9" t="s">
        <v>87</v>
      </c>
      <c r="K237" s="9"/>
      <c r="L237" s="8" t="str">
        <f>IF(AND(AL41&lt;6,AM41=6),Tables!J3,IF(AND(AL41=6,AM41=6),"",Tables!J3))</f>
        <v>Post Total not completed</v>
      </c>
      <c r="M237" s="9"/>
      <c r="N237" s="9"/>
      <c r="O237" s="9"/>
      <c r="P237" s="8"/>
      <c r="Q237" s="8"/>
      <c r="R237" s="8"/>
      <c r="S237" s="8"/>
      <c r="T237" s="8"/>
      <c r="U237" s="8"/>
      <c r="V237" s="8"/>
      <c r="W237" s="8"/>
      <c r="X237" s="8"/>
      <c r="Y237" s="8"/>
      <c r="Z237" s="8"/>
      <c r="AA237" s="8"/>
      <c r="AB237" s="8"/>
      <c r="AC237" s="8"/>
      <c r="AD237" s="8"/>
      <c r="AE237" s="8"/>
      <c r="AF237" s="8"/>
      <c r="AG237" s="8"/>
      <c r="AH237" s="8"/>
      <c r="AI237" s="8"/>
      <c r="AJ237" s="49"/>
      <c r="AL237" s="96">
        <f t="shared" ref="AL237:AL251" si="17">IF(L237="",0,1)</f>
        <v>1</v>
      </c>
    </row>
    <row r="238" spans="2:38" ht="15" customHeight="1" x14ac:dyDescent="0.3">
      <c r="B238" s="46"/>
      <c r="C238" s="8"/>
      <c r="D238" s="8"/>
      <c r="E238" s="8"/>
      <c r="F238" s="8"/>
      <c r="G238" s="8"/>
      <c r="H238" s="8"/>
      <c r="I238" s="8"/>
      <c r="J238" s="9" t="s">
        <v>510</v>
      </c>
      <c r="K238" s="9"/>
      <c r="L238" s="8" t="str">
        <f>IF(AO142&gt;0,Tables!J20,"")</f>
        <v>Outlet protection section not completed</v>
      </c>
      <c r="M238" s="9"/>
      <c r="N238" s="9"/>
      <c r="O238" s="9"/>
      <c r="P238" s="8"/>
      <c r="Q238" s="8"/>
      <c r="R238" s="8"/>
      <c r="S238" s="8"/>
      <c r="T238" s="8"/>
      <c r="U238" s="8"/>
      <c r="V238" s="8"/>
      <c r="W238" s="8"/>
      <c r="X238" s="8"/>
      <c r="Y238" s="8"/>
      <c r="Z238" s="8"/>
      <c r="AA238" s="8"/>
      <c r="AB238" s="8"/>
      <c r="AC238" s="8"/>
      <c r="AD238" s="8"/>
      <c r="AE238" s="8"/>
      <c r="AF238" s="8"/>
      <c r="AG238" s="8"/>
      <c r="AH238" s="8"/>
      <c r="AI238" s="8"/>
      <c r="AJ238" s="49"/>
      <c r="AL238" s="96"/>
    </row>
    <row r="239" spans="2:38" ht="15" customHeight="1" x14ac:dyDescent="0.3">
      <c r="B239" s="46"/>
      <c r="C239" s="8"/>
      <c r="D239" s="8"/>
      <c r="E239" s="8"/>
      <c r="F239" s="8"/>
      <c r="G239" s="8"/>
      <c r="H239" s="8"/>
      <c r="I239" s="8"/>
      <c r="J239" s="9" t="s">
        <v>88</v>
      </c>
      <c r="K239" s="9"/>
      <c r="L239" s="8" t="str">
        <f>IF(AND(ISBLANK(K135),ISBLANK(O135)),Tables!J4,IF(AO133=1,"",IF(AM135&lt;6,Tables!J4,"")))</f>
        <v>Emergency Spillway Section not completed</v>
      </c>
      <c r="M239" s="9"/>
      <c r="N239" s="9"/>
      <c r="O239" s="9"/>
      <c r="P239" s="8"/>
      <c r="Q239" s="8"/>
      <c r="R239" s="8"/>
      <c r="S239" s="8"/>
      <c r="T239" s="8"/>
      <c r="U239" s="8"/>
      <c r="V239" s="8"/>
      <c r="W239" s="8"/>
      <c r="X239" s="8"/>
      <c r="Y239" s="8"/>
      <c r="Z239" s="8"/>
      <c r="AA239" s="8"/>
      <c r="AB239" s="8"/>
      <c r="AC239" s="8"/>
      <c r="AD239" s="8"/>
      <c r="AE239" s="8"/>
      <c r="AF239" s="8"/>
      <c r="AG239" s="8"/>
      <c r="AH239" s="8"/>
      <c r="AI239" s="8"/>
      <c r="AJ239" s="49"/>
      <c r="AL239" s="96">
        <f t="shared" si="17"/>
        <v>1</v>
      </c>
    </row>
    <row r="240" spans="2:38" ht="15" customHeight="1" x14ac:dyDescent="0.3">
      <c r="B240" s="46"/>
      <c r="C240" s="8"/>
      <c r="D240" s="8"/>
      <c r="E240" s="8"/>
      <c r="F240" s="8"/>
      <c r="G240" s="8"/>
      <c r="H240" s="8"/>
      <c r="I240" s="8"/>
      <c r="J240" s="9" t="s">
        <v>299</v>
      </c>
      <c r="K240" s="9"/>
      <c r="L240" s="8" t="str">
        <f>IF(AND(ISBLANK(K135),ISBLANK(O135)),Tables!J13,IF(AL159=1,"",IF(AL167&lt;1,Tables!J13,"")))</f>
        <v>Freeboard  &lt;  1.0 ft</v>
      </c>
      <c r="M240" s="9"/>
      <c r="N240" s="9"/>
      <c r="O240" s="9"/>
      <c r="P240" s="8"/>
      <c r="Q240" s="8"/>
      <c r="R240" s="8"/>
      <c r="S240" s="8"/>
      <c r="T240" s="8"/>
      <c r="U240" s="8"/>
      <c r="V240" s="8"/>
      <c r="W240" s="8"/>
      <c r="X240" s="8"/>
      <c r="Y240" s="8"/>
      <c r="Z240" s="8"/>
      <c r="AA240" s="8"/>
      <c r="AB240" s="8"/>
      <c r="AC240" s="8"/>
      <c r="AD240" s="8"/>
      <c r="AE240" s="8"/>
      <c r="AF240" s="8"/>
      <c r="AG240" s="8"/>
      <c r="AH240" s="8"/>
      <c r="AI240" s="8"/>
      <c r="AJ240" s="49"/>
      <c r="AL240" s="96">
        <f t="shared" si="17"/>
        <v>1</v>
      </c>
    </row>
    <row r="241" spans="2:38" ht="15" customHeight="1" x14ac:dyDescent="0.3">
      <c r="B241" s="46"/>
      <c r="C241" s="8"/>
      <c r="D241" s="8"/>
      <c r="E241" s="8"/>
      <c r="F241" s="8"/>
      <c r="G241" s="8"/>
      <c r="H241" s="8"/>
      <c r="I241" s="8"/>
      <c r="J241" s="9" t="s">
        <v>107</v>
      </c>
      <c r="K241" s="9"/>
      <c r="L241" s="8" t="str">
        <f>IF(AR133&lt;2,Tables!J8,"")</f>
        <v>Latitude and/or Longitude not provided</v>
      </c>
      <c r="M241" s="9"/>
      <c r="N241" s="9"/>
      <c r="O241" s="9"/>
      <c r="P241" s="8"/>
      <c r="Q241" s="8"/>
      <c r="R241" s="8"/>
      <c r="S241" s="8"/>
      <c r="T241" s="8"/>
      <c r="U241" s="8"/>
      <c r="V241" s="8"/>
      <c r="W241" s="8"/>
      <c r="X241" s="8"/>
      <c r="Y241" s="8"/>
      <c r="Z241" s="8"/>
      <c r="AA241" s="8"/>
      <c r="AB241" s="8"/>
      <c r="AC241" s="8"/>
      <c r="AD241" s="8"/>
      <c r="AE241" s="8"/>
      <c r="AF241" s="8"/>
      <c r="AG241" s="8"/>
      <c r="AH241" s="8"/>
      <c r="AI241" s="8"/>
      <c r="AJ241" s="49"/>
      <c r="AL241" s="96">
        <f t="shared" si="17"/>
        <v>1</v>
      </c>
    </row>
    <row r="242" spans="2:38" ht="15" customHeight="1" x14ac:dyDescent="0.3">
      <c r="B242" s="46"/>
      <c r="C242" s="8"/>
      <c r="D242" s="8"/>
      <c r="E242" s="8"/>
      <c r="F242" s="8"/>
      <c r="G242" s="8"/>
      <c r="H242" s="8"/>
      <c r="I242" s="8"/>
      <c r="J242" s="9"/>
      <c r="K242" s="9"/>
      <c r="L242" s="8" t="str">
        <f>IF(AND(AR138=1,AR140=1),Tables!$J$14,IF(OR(AR138=3,AR140=3),Tables!$J$14,""))</f>
        <v>Latitude and/or Longitude has been entered as text.  Change to a number.</v>
      </c>
      <c r="M242" s="9"/>
      <c r="N242" s="9"/>
      <c r="O242" s="9"/>
      <c r="P242" s="8"/>
      <c r="Q242" s="8"/>
      <c r="R242" s="8"/>
      <c r="S242" s="8"/>
      <c r="T242" s="8"/>
      <c r="U242" s="8"/>
      <c r="V242" s="8"/>
      <c r="W242" s="8"/>
      <c r="X242" s="8"/>
      <c r="Y242" s="8"/>
      <c r="Z242" s="8"/>
      <c r="AA242" s="8"/>
      <c r="AB242" s="8"/>
      <c r="AC242" s="8"/>
      <c r="AD242" s="8"/>
      <c r="AE242" s="8"/>
      <c r="AF242" s="8"/>
      <c r="AG242" s="8"/>
      <c r="AH242" s="8"/>
      <c r="AI242" s="8"/>
      <c r="AJ242" s="49"/>
      <c r="AL242" s="96">
        <f t="shared" si="17"/>
        <v>1</v>
      </c>
    </row>
    <row r="243" spans="2:38" ht="15" customHeight="1" x14ac:dyDescent="0.3">
      <c r="B243" s="46"/>
      <c r="C243" s="8"/>
      <c r="D243" s="8"/>
      <c r="E243" s="8"/>
      <c r="F243" s="8"/>
      <c r="G243" s="8"/>
      <c r="H243" s="8"/>
      <c r="I243" s="8"/>
      <c r="J243" s="9" t="s">
        <v>141</v>
      </c>
      <c r="K243" s="9"/>
      <c r="L243" s="8" t="str">
        <f>IF(AM156=2,Tables!J9,IF(AM155=1,"",Tables!J9))</f>
        <v>WQv Required &gt; WQv Provided</v>
      </c>
      <c r="M243" s="9"/>
      <c r="N243" s="9"/>
      <c r="O243" s="9"/>
      <c r="P243" s="8"/>
      <c r="Q243" s="8"/>
      <c r="R243" s="8"/>
      <c r="S243" s="8"/>
      <c r="T243" s="8"/>
      <c r="U243" s="8"/>
      <c r="V243" s="8"/>
      <c r="W243" s="8"/>
      <c r="X243" s="8"/>
      <c r="Y243" s="8"/>
      <c r="Z243" s="8"/>
      <c r="AA243" s="8"/>
      <c r="AB243" s="8"/>
      <c r="AC243" s="8"/>
      <c r="AD243" s="8"/>
      <c r="AE243" s="8"/>
      <c r="AF243" s="8"/>
      <c r="AG243" s="8"/>
      <c r="AH243" s="8"/>
      <c r="AI243" s="8"/>
      <c r="AJ243" s="49"/>
      <c r="AL243" s="96">
        <f t="shared" si="17"/>
        <v>1</v>
      </c>
    </row>
    <row r="244" spans="2:38" ht="15" customHeight="1" x14ac:dyDescent="0.3">
      <c r="B244" s="46"/>
      <c r="C244" s="8"/>
      <c r="D244" s="8"/>
      <c r="E244" s="8"/>
      <c r="F244" s="8"/>
      <c r="G244" s="8"/>
      <c r="H244" s="8"/>
      <c r="I244" s="8"/>
      <c r="J244" s="101" t="s">
        <v>89</v>
      </c>
      <c r="K244" s="9"/>
      <c r="L244" s="8"/>
      <c r="M244" s="9"/>
      <c r="N244" s="9"/>
      <c r="O244" s="9"/>
      <c r="P244" s="8"/>
      <c r="Q244" s="8"/>
      <c r="R244" s="8"/>
      <c r="S244" s="8"/>
      <c r="T244" s="8"/>
      <c r="U244" s="8"/>
      <c r="V244" s="8"/>
      <c r="W244" s="8"/>
      <c r="X244" s="8"/>
      <c r="Y244" s="8"/>
      <c r="Z244" s="8"/>
      <c r="AA244" s="8"/>
      <c r="AB244" s="8"/>
      <c r="AC244" s="8"/>
      <c r="AD244" s="8"/>
      <c r="AE244" s="8"/>
      <c r="AF244" s="8"/>
      <c r="AG244" s="8"/>
      <c r="AH244" s="8"/>
      <c r="AI244" s="8"/>
      <c r="AJ244" s="49"/>
      <c r="AL244" s="96">
        <f t="shared" si="17"/>
        <v>0</v>
      </c>
    </row>
    <row r="245" spans="2:38" ht="15" customHeight="1" x14ac:dyDescent="0.3">
      <c r="B245" s="46"/>
      <c r="C245" s="8"/>
      <c r="D245" s="8"/>
      <c r="E245" s="8"/>
      <c r="F245" s="8"/>
      <c r="G245" s="8"/>
      <c r="H245" s="8"/>
      <c r="I245" s="8"/>
      <c r="J245" s="9" t="s">
        <v>83</v>
      </c>
      <c r="K245" s="9"/>
      <c r="L245" s="8" t="str">
        <f>IF(AND(ISBLANK(K135),ISBLANK(O135)),Tables!J7,IF(AL159=1,"",IF(AL161&gt;0,Tables!J7,"")))</f>
        <v>Max Stage for 2, 5, 10, 25, and/or 50-year storm  &gt; emergency spillway crest elevation</v>
      </c>
      <c r="M245" s="9"/>
      <c r="N245" s="9"/>
      <c r="O245" s="9"/>
      <c r="P245" s="8"/>
      <c r="Q245" s="8"/>
      <c r="R245" s="8"/>
      <c r="S245" s="8"/>
      <c r="T245" s="8"/>
      <c r="U245" s="8"/>
      <c r="V245" s="8"/>
      <c r="W245" s="8"/>
      <c r="X245" s="8"/>
      <c r="Y245" s="8"/>
      <c r="Z245" s="8"/>
      <c r="AA245" s="8"/>
      <c r="AB245" s="8"/>
      <c r="AC245" s="8"/>
      <c r="AD245" s="8"/>
      <c r="AE245" s="8"/>
      <c r="AF245" s="8"/>
      <c r="AG245" s="8"/>
      <c r="AH245" s="8"/>
      <c r="AI245" s="8"/>
      <c r="AJ245" s="49"/>
      <c r="AL245" s="96">
        <f t="shared" si="17"/>
        <v>1</v>
      </c>
    </row>
    <row r="246" spans="2:38" ht="15" customHeight="1" x14ac:dyDescent="0.3">
      <c r="B246" s="46"/>
      <c r="C246" s="8"/>
      <c r="D246" s="8"/>
      <c r="E246" s="8"/>
      <c r="F246" s="8"/>
      <c r="G246" s="8"/>
      <c r="H246" s="8"/>
      <c r="I246" s="8"/>
      <c r="J246" s="9" t="s">
        <v>254</v>
      </c>
      <c r="K246" s="9"/>
      <c r="L246" s="8" t="str">
        <f>IF(AR$161&gt;0,Tables!J18,"")</f>
        <v>Outlet Control Structure Velocity &gt; 6 ft/s</v>
      </c>
      <c r="M246" s="9"/>
      <c r="N246" s="9"/>
      <c r="O246" s="9"/>
      <c r="P246" s="8"/>
      <c r="Q246" s="8"/>
      <c r="R246" s="8"/>
      <c r="S246" s="8"/>
      <c r="T246" s="8"/>
      <c r="U246" s="8"/>
      <c r="V246" s="8"/>
      <c r="W246" s="8"/>
      <c r="X246" s="8"/>
      <c r="Y246" s="8"/>
      <c r="Z246" s="8"/>
      <c r="AA246" s="8"/>
      <c r="AB246" s="8"/>
      <c r="AC246" s="8"/>
      <c r="AD246" s="8"/>
      <c r="AE246" s="8"/>
      <c r="AF246" s="8"/>
      <c r="AG246" s="8"/>
      <c r="AH246" s="8"/>
      <c r="AI246" s="8"/>
      <c r="AJ246" s="49"/>
      <c r="AL246" s="96">
        <f t="shared" si="17"/>
        <v>1</v>
      </c>
    </row>
    <row r="247" spans="2:38" ht="15" customHeight="1" x14ac:dyDescent="0.3">
      <c r="B247" s="46"/>
      <c r="C247" s="8"/>
      <c r="D247" s="8"/>
      <c r="E247" s="8"/>
      <c r="F247" s="8"/>
      <c r="G247" s="8"/>
      <c r="H247" s="8"/>
      <c r="I247" s="8"/>
      <c r="J247" s="9"/>
      <c r="K247" s="9"/>
      <c r="L247" s="8" t="str">
        <f>IF(AM$161&gt;0,Tables!J6,"")</f>
        <v>Emergency Spillway Velocity &gt; 6 ft/s</v>
      </c>
      <c r="M247" s="9"/>
      <c r="N247" s="9"/>
      <c r="O247" s="9"/>
      <c r="P247" s="8"/>
      <c r="Q247" s="8"/>
      <c r="R247" s="8"/>
      <c r="S247" s="8"/>
      <c r="T247" s="8"/>
      <c r="U247" s="8"/>
      <c r="V247" s="8"/>
      <c r="W247" s="8"/>
      <c r="X247" s="8"/>
      <c r="Y247" s="8"/>
      <c r="Z247" s="8"/>
      <c r="AA247" s="8"/>
      <c r="AB247" s="8"/>
      <c r="AC247" s="8"/>
      <c r="AD247" s="8"/>
      <c r="AE247" s="8"/>
      <c r="AF247" s="8"/>
      <c r="AG247" s="8"/>
      <c r="AH247" s="8"/>
      <c r="AI247" s="8"/>
      <c r="AJ247" s="49"/>
      <c r="AL247" s="96">
        <f>IF(L247="",0,1)</f>
        <v>1</v>
      </c>
    </row>
    <row r="248" spans="2:38" ht="15" customHeight="1" x14ac:dyDescent="0.3">
      <c r="B248" s="46"/>
      <c r="C248" s="8"/>
      <c r="D248" s="8"/>
      <c r="E248" s="8"/>
      <c r="F248" s="8"/>
      <c r="G248" s="8"/>
      <c r="H248" s="8"/>
      <c r="I248" s="8"/>
      <c r="J248" s="9" t="s">
        <v>90</v>
      </c>
      <c r="K248" s="9"/>
      <c r="L248" s="8" t="str">
        <f>IF(OR(AN161&gt;0,AO161&gt;0),Tables!J5,"")</f>
        <v>Total Post Q &gt; Pre Q</v>
      </c>
      <c r="M248" s="9"/>
      <c r="N248" s="9"/>
      <c r="O248" s="9"/>
      <c r="P248" s="8"/>
      <c r="Q248" s="8"/>
      <c r="R248" s="8"/>
      <c r="S248" s="8"/>
      <c r="T248" s="8"/>
      <c r="U248" s="8"/>
      <c r="V248" s="8"/>
      <c r="W248" s="8"/>
      <c r="X248" s="8"/>
      <c r="Y248" s="8"/>
      <c r="Z248" s="8"/>
      <c r="AA248" s="8"/>
      <c r="AB248" s="8"/>
      <c r="AC248" s="8"/>
      <c r="AD248" s="8"/>
      <c r="AE248" s="8"/>
      <c r="AF248" s="8"/>
      <c r="AG248" s="8"/>
      <c r="AH248" s="8"/>
      <c r="AI248" s="8"/>
      <c r="AJ248" s="49"/>
      <c r="AL248" s="96">
        <f t="shared" si="17"/>
        <v>1</v>
      </c>
    </row>
    <row r="249" spans="2:38" ht="15" customHeight="1" x14ac:dyDescent="0.3">
      <c r="B249" s="46"/>
      <c r="C249" s="8"/>
      <c r="D249" s="8"/>
      <c r="E249" s="8"/>
      <c r="F249" s="8"/>
      <c r="G249" s="8"/>
      <c r="H249" s="8"/>
      <c r="I249" s="8"/>
      <c r="J249" s="9"/>
      <c r="K249" s="9"/>
      <c r="L249" s="8" t="str">
        <f>IF($AQ$161&gt;0,Tables!$J$11,"")</f>
        <v>Total Post Q is &lt; -0.50 ft3/s of Pre Q</v>
      </c>
      <c r="M249" s="9"/>
      <c r="N249" s="9"/>
      <c r="O249" s="9"/>
      <c r="P249" s="8"/>
      <c r="Q249" s="8"/>
      <c r="R249" s="8"/>
      <c r="S249" s="8"/>
      <c r="T249" s="8"/>
      <c r="U249" s="8"/>
      <c r="V249" s="8"/>
      <c r="W249" s="8"/>
      <c r="X249" s="8"/>
      <c r="Y249" s="8"/>
      <c r="Z249" s="8"/>
      <c r="AA249" s="8"/>
      <c r="AB249" s="8"/>
      <c r="AC249" s="8"/>
      <c r="AD249" s="8"/>
      <c r="AE249" s="8"/>
      <c r="AF249" s="8"/>
      <c r="AG249" s="8"/>
      <c r="AH249" s="8"/>
      <c r="AI249" s="8"/>
      <c r="AJ249" s="49"/>
      <c r="AL249" s="96">
        <f t="shared" si="17"/>
        <v>1</v>
      </c>
    </row>
    <row r="250" spans="2:38" ht="15" customHeight="1" x14ac:dyDescent="0.3">
      <c r="B250" s="46"/>
      <c r="C250" s="8"/>
      <c r="D250" s="8"/>
      <c r="E250" s="8"/>
      <c r="F250" s="8"/>
      <c r="G250" s="8"/>
      <c r="H250" s="8"/>
      <c r="I250" s="8"/>
      <c r="J250" s="9"/>
      <c r="K250" s="9"/>
      <c r="L250" s="8" t="str">
        <f>IF(AO180="Yes",IF(AND(ISBLANK(C180),ISBLANK(F180)),Tables!$J15,IF($AO$161&gt;0,Tables!$J15,"")),"")</f>
        <v/>
      </c>
      <c r="M250" s="9"/>
      <c r="N250" s="9"/>
      <c r="O250" s="9"/>
      <c r="P250" s="8"/>
      <c r="Q250" s="8"/>
      <c r="R250" s="8"/>
      <c r="S250" s="8"/>
      <c r="T250" s="8"/>
      <c r="U250" s="8"/>
      <c r="V250" s="8"/>
      <c r="W250" s="8"/>
      <c r="X250" s="8"/>
      <c r="Y250" s="8"/>
      <c r="Z250" s="8"/>
      <c r="AA250" s="8"/>
      <c r="AB250" s="8"/>
      <c r="AC250" s="8"/>
      <c r="AD250" s="8"/>
      <c r="AE250" s="8"/>
      <c r="AF250" s="8"/>
      <c r="AG250" s="8"/>
      <c r="AH250" s="8"/>
      <c r="AI250" s="8"/>
      <c r="AJ250" s="49"/>
      <c r="AL250" s="96">
        <f t="shared" si="17"/>
        <v>0</v>
      </c>
    </row>
    <row r="251" spans="2:38" ht="15" customHeight="1" x14ac:dyDescent="0.3">
      <c r="B251" s="50"/>
      <c r="C251" s="51"/>
      <c r="D251" s="51"/>
      <c r="E251" s="51"/>
      <c r="F251" s="51"/>
      <c r="G251" s="51"/>
      <c r="H251" s="51"/>
      <c r="I251" s="51"/>
      <c r="J251" s="52"/>
      <c r="K251" s="52"/>
      <c r="L251" s="51" t="str">
        <f>IF(AO182="Yes",IF(AND(ISBLANK(C182),ISBLANK(F182)),Tables!$J16,IF($AP$161&gt;0,Tables!$J16,"")),"")</f>
        <v/>
      </c>
      <c r="M251" s="52"/>
      <c r="N251" s="52"/>
      <c r="O251" s="52"/>
      <c r="P251" s="51"/>
      <c r="Q251" s="51"/>
      <c r="R251" s="51"/>
      <c r="S251" s="51"/>
      <c r="T251" s="51"/>
      <c r="U251" s="51"/>
      <c r="V251" s="51"/>
      <c r="W251" s="51"/>
      <c r="X251" s="51"/>
      <c r="Y251" s="51"/>
      <c r="Z251" s="51"/>
      <c r="AA251" s="51"/>
      <c r="AB251" s="51"/>
      <c r="AC251" s="51"/>
      <c r="AD251" s="51"/>
      <c r="AE251" s="51"/>
      <c r="AF251" s="51"/>
      <c r="AG251" s="51"/>
      <c r="AH251" s="51"/>
      <c r="AI251" s="51"/>
      <c r="AJ251" s="53"/>
      <c r="AL251" s="96">
        <f t="shared" si="17"/>
        <v>0</v>
      </c>
    </row>
    <row r="252" spans="2:38" ht="15" customHeight="1" x14ac:dyDescent="0.3">
      <c r="AK252" s="33"/>
    </row>
    <row r="253" spans="2:38" ht="15" customHeight="1" x14ac:dyDescent="0.3">
      <c r="B253" s="198">
        <f>Tables!$F$13</f>
        <v>45931</v>
      </c>
      <c r="C253" s="198"/>
      <c r="D253" s="198"/>
      <c r="E253" s="198"/>
      <c r="F253" s="198"/>
      <c r="G253" s="198"/>
      <c r="H253" s="198"/>
      <c r="R253" s="188" t="s">
        <v>306</v>
      </c>
      <c r="S253" s="188"/>
      <c r="T253" s="188"/>
      <c r="U253" s="188"/>
      <c r="AK253" s="33"/>
    </row>
    <row r="254" spans="2:38" ht="15" customHeight="1" x14ac:dyDescent="0.3"/>
    <row r="255" spans="2:38" ht="15" customHeight="1" x14ac:dyDescent="0.3"/>
    <row r="256" spans="2:38" ht="15" customHeight="1" x14ac:dyDescent="0.3"/>
    <row r="257" ht="15" customHeight="1" x14ac:dyDescent="0.3"/>
  </sheetData>
  <sheetProtection algorithmName="SHA-512" hashValue="0ZwZze5a09doCxBBeUDxflJrpvCIuxdMeZDdtjlNxgmEEn35io3NsF29lBFl+hVL0TLsRgA7UzqGSZgZzrfuCQ==" saltValue="LXSd381s+ij79UNzAknJuA==" spinCount="100000" sheet="1" objects="1" scenarios="1" selectLockedCells="1"/>
  <mergeCells count="448">
    <mergeCell ref="AL196:AM196"/>
    <mergeCell ref="AE158:AJ158"/>
    <mergeCell ref="AE159:AJ159"/>
    <mergeCell ref="D158:Y158"/>
    <mergeCell ref="AG161:AJ161"/>
    <mergeCell ref="B210:H210"/>
    <mergeCell ref="R210:U210"/>
    <mergeCell ref="C167:D167"/>
    <mergeCell ref="C166:D166"/>
    <mergeCell ref="C165:D165"/>
    <mergeCell ref="C164:D164"/>
    <mergeCell ref="U162:W162"/>
    <mergeCell ref="U163:W163"/>
    <mergeCell ref="U164:W164"/>
    <mergeCell ref="U165:W165"/>
    <mergeCell ref="I163:K163"/>
    <mergeCell ref="I162:K162"/>
    <mergeCell ref="AG162:AI162"/>
    <mergeCell ref="AG163:AI163"/>
    <mergeCell ref="AG164:AI164"/>
    <mergeCell ref="AG165:AI165"/>
    <mergeCell ref="AD6:AJ6"/>
    <mergeCell ref="I26:J26"/>
    <mergeCell ref="I39:J39"/>
    <mergeCell ref="I161:K161"/>
    <mergeCell ref="T161:W161"/>
    <mergeCell ref="M161:O161"/>
    <mergeCell ref="M149:P149"/>
    <mergeCell ref="M150:P150"/>
    <mergeCell ref="M151:P151"/>
    <mergeCell ref="M152:P152"/>
    <mergeCell ref="M153:P153"/>
    <mergeCell ref="M154:P154"/>
    <mergeCell ref="H149:J149"/>
    <mergeCell ref="H150:J150"/>
    <mergeCell ref="H151:J151"/>
    <mergeCell ref="H152:J152"/>
    <mergeCell ref="H153:J153"/>
    <mergeCell ref="F124:I124"/>
    <mergeCell ref="AC155:AF155"/>
    <mergeCell ref="AC161:AE161"/>
    <mergeCell ref="F126:I126"/>
    <mergeCell ref="F127:I127"/>
    <mergeCell ref="K133:M133"/>
    <mergeCell ref="U128:W128"/>
    <mergeCell ref="D29:E34"/>
    <mergeCell ref="F229:J229"/>
    <mergeCell ref="D211:Y211"/>
    <mergeCell ref="AE211:AJ211"/>
    <mergeCell ref="AE212:AJ212"/>
    <mergeCell ref="U166:W166"/>
    <mergeCell ref="U167:W167"/>
    <mergeCell ref="B170:AJ176"/>
    <mergeCell ref="M166:O166"/>
    <mergeCell ref="M167:O167"/>
    <mergeCell ref="AG166:AI166"/>
    <mergeCell ref="AG167:AI167"/>
    <mergeCell ref="Q167:S167"/>
    <mergeCell ref="AC167:AE167"/>
    <mergeCell ref="Y167:AA167"/>
    <mergeCell ref="AC166:AE166"/>
    <mergeCell ref="Y166:AA166"/>
    <mergeCell ref="F225:Z225"/>
    <mergeCell ref="Q164:S164"/>
    <mergeCell ref="Q165:S165"/>
    <mergeCell ref="C163:D163"/>
    <mergeCell ref="C162:D162"/>
    <mergeCell ref="I165:K165"/>
    <mergeCell ref="I164:K164"/>
    <mergeCell ref="AN170:AO170"/>
    <mergeCell ref="AC160:AE160"/>
    <mergeCell ref="Y162:AA162"/>
    <mergeCell ref="Y163:AA163"/>
    <mergeCell ref="Q161:S161"/>
    <mergeCell ref="Y164:AA164"/>
    <mergeCell ref="Y165:AA165"/>
    <mergeCell ref="Y161:AA161"/>
    <mergeCell ref="AC148:AF148"/>
    <mergeCell ref="AC162:AE162"/>
    <mergeCell ref="AC163:AE163"/>
    <mergeCell ref="AC164:AE164"/>
    <mergeCell ref="AC165:AE165"/>
    <mergeCell ref="Q162:S162"/>
    <mergeCell ref="Y160:AA160"/>
    <mergeCell ref="AC153:AF153"/>
    <mergeCell ref="AC149:AF149"/>
    <mergeCell ref="AC150:AF150"/>
    <mergeCell ref="AC151:AF151"/>
    <mergeCell ref="AC152:AF152"/>
    <mergeCell ref="R157:U157"/>
    <mergeCell ref="X149:Z149"/>
    <mergeCell ref="X150:Z150"/>
    <mergeCell ref="AC154:AF154"/>
    <mergeCell ref="W138:Y138"/>
    <mergeCell ref="X148:Z148"/>
    <mergeCell ref="F133:I133"/>
    <mergeCell ref="F128:I128"/>
    <mergeCell ref="F131:I131"/>
    <mergeCell ref="L142:T142"/>
    <mergeCell ref="F144:G144"/>
    <mergeCell ref="L144:M144"/>
    <mergeCell ref="R144:S144"/>
    <mergeCell ref="F129:I129"/>
    <mergeCell ref="F130:I130"/>
    <mergeCell ref="X152:Z152"/>
    <mergeCell ref="X151:Z151"/>
    <mergeCell ref="AE124:AG124"/>
    <mergeCell ref="K124:M124"/>
    <mergeCell ref="H148:J148"/>
    <mergeCell ref="S148:U148"/>
    <mergeCell ref="F47:G47"/>
    <mergeCell ref="X45:Z45"/>
    <mergeCell ref="X46:Z46"/>
    <mergeCell ref="X47:Z47"/>
    <mergeCell ref="L46:N46"/>
    <mergeCell ref="L47:N47"/>
    <mergeCell ref="B54:H54"/>
    <mergeCell ref="R54:U54"/>
    <mergeCell ref="R82:T82"/>
    <mergeCell ref="W82:Y82"/>
    <mergeCell ref="D42:E47"/>
    <mergeCell ref="C127:E127"/>
    <mergeCell ref="C128:E128"/>
    <mergeCell ref="C129:E129"/>
    <mergeCell ref="C130:E130"/>
    <mergeCell ref="C131:E131"/>
    <mergeCell ref="C132:E132"/>
    <mergeCell ref="C133:E133"/>
    <mergeCell ref="F46:G46"/>
    <mergeCell ref="AB39:AD39"/>
    <mergeCell ref="AB40:AD40"/>
    <mergeCell ref="AB41:AD41"/>
    <mergeCell ref="P47:R47"/>
    <mergeCell ref="T39:V39"/>
    <mergeCell ref="T40:V40"/>
    <mergeCell ref="T46:V46"/>
    <mergeCell ref="T47:V47"/>
    <mergeCell ref="P40:R40"/>
    <mergeCell ref="P41:R41"/>
    <mergeCell ref="P42:R42"/>
    <mergeCell ref="P43:R43"/>
    <mergeCell ref="P44:R44"/>
    <mergeCell ref="P46:R46"/>
    <mergeCell ref="X44:Z44"/>
    <mergeCell ref="X39:Z39"/>
    <mergeCell ref="T45:V45"/>
    <mergeCell ref="P45:R45"/>
    <mergeCell ref="L45:N45"/>
    <mergeCell ref="F43:G43"/>
    <mergeCell ref="L34:N34"/>
    <mergeCell ref="L33:N33"/>
    <mergeCell ref="L32:N32"/>
    <mergeCell ref="P38:R38"/>
    <mergeCell ref="T38:V38"/>
    <mergeCell ref="L31:N31"/>
    <mergeCell ref="F44:G44"/>
    <mergeCell ref="F45:G45"/>
    <mergeCell ref="T34:V34"/>
    <mergeCell ref="T32:V32"/>
    <mergeCell ref="L44:N44"/>
    <mergeCell ref="L43:N43"/>
    <mergeCell ref="L42:N42"/>
    <mergeCell ref="L41:N41"/>
    <mergeCell ref="L40:N40"/>
    <mergeCell ref="L39:N39"/>
    <mergeCell ref="T42:V42"/>
    <mergeCell ref="T43:V43"/>
    <mergeCell ref="T44:V44"/>
    <mergeCell ref="P39:R39"/>
    <mergeCell ref="F29:G29"/>
    <mergeCell ref="W21:Z21"/>
    <mergeCell ref="F30:G30"/>
    <mergeCell ref="F31:G31"/>
    <mergeCell ref="F32:G32"/>
    <mergeCell ref="F33:G33"/>
    <mergeCell ref="AF47:AH47"/>
    <mergeCell ref="AF44:AH44"/>
    <mergeCell ref="AF45:AH45"/>
    <mergeCell ref="AF46:AH46"/>
    <mergeCell ref="AB46:AD46"/>
    <mergeCell ref="AB47:AD47"/>
    <mergeCell ref="AB43:AD43"/>
    <mergeCell ref="X40:Z40"/>
    <mergeCell ref="X41:Z41"/>
    <mergeCell ref="X42:Z42"/>
    <mergeCell ref="AB42:AD42"/>
    <mergeCell ref="X43:Z43"/>
    <mergeCell ref="AB44:AD44"/>
    <mergeCell ref="AB45:AD45"/>
    <mergeCell ref="AF42:AH42"/>
    <mergeCell ref="AF43:AH43"/>
    <mergeCell ref="F34:G34"/>
    <mergeCell ref="F42:G42"/>
    <mergeCell ref="E7:X7"/>
    <mergeCell ref="E8:X8"/>
    <mergeCell ref="AE7:AJ7"/>
    <mergeCell ref="AE8:AJ8"/>
    <mergeCell ref="J16:M16"/>
    <mergeCell ref="J17:M17"/>
    <mergeCell ref="J18:M18"/>
    <mergeCell ref="J19:M19"/>
    <mergeCell ref="AA15:AD15"/>
    <mergeCell ref="N16:O16"/>
    <mergeCell ref="N17:O17"/>
    <mergeCell ref="AA17:AB17"/>
    <mergeCell ref="AE17:AH17"/>
    <mergeCell ref="W17:Z17"/>
    <mergeCell ref="AI17:AJ17"/>
    <mergeCell ref="N18:O18"/>
    <mergeCell ref="CB39:CB40"/>
    <mergeCell ref="AB33:AD33"/>
    <mergeCell ref="AB34:AD34"/>
    <mergeCell ref="AF30:AH30"/>
    <mergeCell ref="AF31:AH31"/>
    <mergeCell ref="AF32:AH32"/>
    <mergeCell ref="J21:M21"/>
    <mergeCell ref="T33:V33"/>
    <mergeCell ref="AB32:AD32"/>
    <mergeCell ref="AB25:AD25"/>
    <mergeCell ref="AF29:AH29"/>
    <mergeCell ref="L38:N38"/>
    <mergeCell ref="AF25:AH25"/>
    <mergeCell ref="AF33:AH33"/>
    <mergeCell ref="AF34:AH34"/>
    <mergeCell ref="X38:Z38"/>
    <mergeCell ref="AB26:AD26"/>
    <mergeCell ref="AF26:AH26"/>
    <mergeCell ref="P27:R27"/>
    <mergeCell ref="P28:R28"/>
    <mergeCell ref="X28:Z28"/>
    <mergeCell ref="X29:Z29"/>
    <mergeCell ref="X26:Z26"/>
    <mergeCell ref="T29:V29"/>
    <mergeCell ref="AF59:AH59"/>
    <mergeCell ref="AF63:AH63"/>
    <mergeCell ref="J65:M65"/>
    <mergeCell ref="J66:M66"/>
    <mergeCell ref="S65:U65"/>
    <mergeCell ref="S66:U66"/>
    <mergeCell ref="Z65:AB65"/>
    <mergeCell ref="Z66:AB66"/>
    <mergeCell ref="AG65:AI65"/>
    <mergeCell ref="AG66:AI66"/>
    <mergeCell ref="AE55:AJ55"/>
    <mergeCell ref="AE56:AJ56"/>
    <mergeCell ref="D55:Y55"/>
    <mergeCell ref="M87:O87"/>
    <mergeCell ref="W87:Y87"/>
    <mergeCell ref="M83:O83"/>
    <mergeCell ref="K76:O76"/>
    <mergeCell ref="AF138:AH138"/>
    <mergeCell ref="O140:R140"/>
    <mergeCell ref="W140:Z140"/>
    <mergeCell ref="P131:R131"/>
    <mergeCell ref="U132:W132"/>
    <mergeCell ref="U124:W124"/>
    <mergeCell ref="U126:W126"/>
    <mergeCell ref="U127:W127"/>
    <mergeCell ref="P124:R124"/>
    <mergeCell ref="P126:R126"/>
    <mergeCell ref="P127:R127"/>
    <mergeCell ref="P128:R128"/>
    <mergeCell ref="P132:R132"/>
    <mergeCell ref="Z68:AB68"/>
    <mergeCell ref="AC74:AJ74"/>
    <mergeCell ref="W92:Y92"/>
    <mergeCell ref="W93:Y93"/>
    <mergeCell ref="B253:H253"/>
    <mergeCell ref="R253:U253"/>
    <mergeCell ref="F226:Z226"/>
    <mergeCell ref="F227:L227"/>
    <mergeCell ref="P227:S227"/>
    <mergeCell ref="X227:Z227"/>
    <mergeCell ref="F228:Z228"/>
    <mergeCell ref="C153:E153"/>
    <mergeCell ref="S153:U153"/>
    <mergeCell ref="S154:U154"/>
    <mergeCell ref="X153:Z153"/>
    <mergeCell ref="X154:Z154"/>
    <mergeCell ref="H154:J154"/>
    <mergeCell ref="C154:E154"/>
    <mergeCell ref="M162:O162"/>
    <mergeCell ref="M163:O163"/>
    <mergeCell ref="M164:O164"/>
    <mergeCell ref="M165:O165"/>
    <mergeCell ref="S155:U155"/>
    <mergeCell ref="Q166:S166"/>
    <mergeCell ref="I167:K167"/>
    <mergeCell ref="I166:K166"/>
    <mergeCell ref="H155:J155"/>
    <mergeCell ref="Q163:S163"/>
    <mergeCell ref="C151:E151"/>
    <mergeCell ref="C152:E152"/>
    <mergeCell ref="P129:R129"/>
    <mergeCell ref="P130:R130"/>
    <mergeCell ref="S149:U149"/>
    <mergeCell ref="U129:W129"/>
    <mergeCell ref="U131:W131"/>
    <mergeCell ref="P133:R133"/>
    <mergeCell ref="F137:I137"/>
    <mergeCell ref="F138:I138"/>
    <mergeCell ref="O137:Q137"/>
    <mergeCell ref="O138:Q138"/>
    <mergeCell ref="C147:E147"/>
    <mergeCell ref="M148:P148"/>
    <mergeCell ref="S150:U150"/>
    <mergeCell ref="S152:U152"/>
    <mergeCell ref="C149:E149"/>
    <mergeCell ref="C150:E150"/>
    <mergeCell ref="K129:M129"/>
    <mergeCell ref="K130:M130"/>
    <mergeCell ref="C148:E148"/>
    <mergeCell ref="U130:W130"/>
    <mergeCell ref="F132:I132"/>
    <mergeCell ref="U133:W133"/>
    <mergeCell ref="AD115:AF115"/>
    <mergeCell ref="K100:M100"/>
    <mergeCell ref="O100:Q100"/>
    <mergeCell ref="T100:V100"/>
    <mergeCell ref="Y100:AA100"/>
    <mergeCell ref="AD100:AF100"/>
    <mergeCell ref="T102:V102"/>
    <mergeCell ref="Y102:AA102"/>
    <mergeCell ref="P120:R120"/>
    <mergeCell ref="P118:R118"/>
    <mergeCell ref="Z124:AB124"/>
    <mergeCell ref="K104:M104"/>
    <mergeCell ref="O104:Q104"/>
    <mergeCell ref="T104:V104"/>
    <mergeCell ref="Y104:AA104"/>
    <mergeCell ref="AD104:AF104"/>
    <mergeCell ref="N113:Q113"/>
    <mergeCell ref="K131:M131"/>
    <mergeCell ref="K132:M132"/>
    <mergeCell ref="K126:M126"/>
    <mergeCell ref="K127:M127"/>
    <mergeCell ref="D109:Y109"/>
    <mergeCell ref="F118:I118"/>
    <mergeCell ref="F119:I119"/>
    <mergeCell ref="F120:I120"/>
    <mergeCell ref="F121:I121"/>
    <mergeCell ref="F123:I123"/>
    <mergeCell ref="P121:R121"/>
    <mergeCell ref="N115:Q115"/>
    <mergeCell ref="T115:V115"/>
    <mergeCell ref="T113:V113"/>
    <mergeCell ref="Y113:AA113"/>
    <mergeCell ref="N112:Q112"/>
    <mergeCell ref="K128:M128"/>
    <mergeCell ref="AD231:AH231"/>
    <mergeCell ref="Q68:T68"/>
    <mergeCell ref="Q69:S69"/>
    <mergeCell ref="P78:T78"/>
    <mergeCell ref="P80:T80"/>
    <mergeCell ref="F224:Z224"/>
    <mergeCell ref="T106:V106"/>
    <mergeCell ref="Y106:AA106"/>
    <mergeCell ref="AE110:AJ110"/>
    <mergeCell ref="Y98:AA98"/>
    <mergeCell ref="M89:O89"/>
    <mergeCell ref="AB89:AD89"/>
    <mergeCell ref="AB90:AD90"/>
    <mergeCell ref="W83:Y83"/>
    <mergeCell ref="R83:T83"/>
    <mergeCell ref="AB91:AD91"/>
    <mergeCell ref="M84:O84"/>
    <mergeCell ref="AG76:AI76"/>
    <mergeCell ref="S76:U76"/>
    <mergeCell ref="AE109:AJ109"/>
    <mergeCell ref="B108:H108"/>
    <mergeCell ref="R108:U108"/>
    <mergeCell ref="S151:U151"/>
    <mergeCell ref="B157:H157"/>
    <mergeCell ref="AV6:BJ7"/>
    <mergeCell ref="O94:Q94"/>
    <mergeCell ref="R1:AK4"/>
    <mergeCell ref="M90:O90"/>
    <mergeCell ref="R90:T90"/>
    <mergeCell ref="W84:Y84"/>
    <mergeCell ref="M85:O85"/>
    <mergeCell ref="R85:T85"/>
    <mergeCell ref="W85:Y85"/>
    <mergeCell ref="V89:Z89"/>
    <mergeCell ref="Q89:U89"/>
    <mergeCell ref="M86:O86"/>
    <mergeCell ref="R86:T86"/>
    <mergeCell ref="W86:Y86"/>
    <mergeCell ref="BG1:CB4"/>
    <mergeCell ref="T27:V27"/>
    <mergeCell ref="T28:V28"/>
    <mergeCell ref="N19:O19"/>
    <mergeCell ref="N20:O20"/>
    <mergeCell ref="N21:O21"/>
    <mergeCell ref="AA14:AD14"/>
    <mergeCell ref="AE14:AF14"/>
    <mergeCell ref="AE15:AF15"/>
    <mergeCell ref="W20:Z20"/>
    <mergeCell ref="L26:N26"/>
    <mergeCell ref="X30:Z30"/>
    <mergeCell ref="X31:Z31"/>
    <mergeCell ref="P26:R26"/>
    <mergeCell ref="P29:R29"/>
    <mergeCell ref="T25:V25"/>
    <mergeCell ref="X25:Z25"/>
    <mergeCell ref="L30:N30"/>
    <mergeCell ref="L29:N29"/>
    <mergeCell ref="L28:N28"/>
    <mergeCell ref="T30:V30"/>
    <mergeCell ref="T31:V31"/>
    <mergeCell ref="T26:V26"/>
    <mergeCell ref="L25:N25"/>
    <mergeCell ref="P25:R25"/>
    <mergeCell ref="L27:N27"/>
    <mergeCell ref="R84:T84"/>
    <mergeCell ref="M91:O91"/>
    <mergeCell ref="R91:T91"/>
    <mergeCell ref="K95:M95"/>
    <mergeCell ref="K96:M96"/>
    <mergeCell ref="O96:Q96"/>
    <mergeCell ref="T96:V96"/>
    <mergeCell ref="Y96:AA96"/>
    <mergeCell ref="AD96:AF96"/>
    <mergeCell ref="W90:Y90"/>
    <mergeCell ref="W91:Y91"/>
    <mergeCell ref="T98:V98"/>
    <mergeCell ref="R87:T87"/>
    <mergeCell ref="J20:M20"/>
    <mergeCell ref="Z70:AB70"/>
    <mergeCell ref="AG70:AI70"/>
    <mergeCell ref="Q70:T70"/>
    <mergeCell ref="Z76:AB76"/>
    <mergeCell ref="P34:R34"/>
    <mergeCell ref="AB27:AD27"/>
    <mergeCell ref="AB28:AD28"/>
    <mergeCell ref="AB29:AD29"/>
    <mergeCell ref="AB30:AD30"/>
    <mergeCell ref="X27:Z27"/>
    <mergeCell ref="X32:Z32"/>
    <mergeCell ref="X33:Z33"/>
    <mergeCell ref="AF39:AH39"/>
    <mergeCell ref="P30:R30"/>
    <mergeCell ref="P31:R31"/>
    <mergeCell ref="P32:R32"/>
    <mergeCell ref="P33:R33"/>
    <mergeCell ref="X34:Z34"/>
    <mergeCell ref="AB38:AD38"/>
    <mergeCell ref="AB31:AD31"/>
    <mergeCell ref="T41:V41"/>
  </mergeCells>
  <phoneticPr fontId="23" type="noConversion"/>
  <conditionalFormatting sqref="B63 B72">
    <cfRule type="expression" dxfId="406" priority="1243">
      <formula>$AN$65=1</formula>
    </cfRule>
  </conditionalFormatting>
  <conditionalFormatting sqref="B170:E170">
    <cfRule type="expression" dxfId="405" priority="285">
      <formula>AL234&gt;0</formula>
    </cfRule>
  </conditionalFormatting>
  <conditionalFormatting sqref="B171:E172">
    <cfRule type="expression" dxfId="404" priority="2041">
      <formula>AL236&gt;0</formula>
    </cfRule>
  </conditionalFormatting>
  <conditionalFormatting sqref="B173:E173">
    <cfRule type="expression" dxfId="403" priority="2051">
      <formula>AL239&gt;0</formula>
    </cfRule>
  </conditionalFormatting>
  <conditionalFormatting sqref="B174:E174">
    <cfRule type="expression" dxfId="402" priority="1350">
      <formula>AL241&gt;0</formula>
    </cfRule>
  </conditionalFormatting>
  <conditionalFormatting sqref="B175:E176">
    <cfRule type="expression" dxfId="401" priority="2030">
      <formula>AL243&gt;0</formula>
    </cfRule>
  </conditionalFormatting>
  <conditionalFormatting sqref="B170:AJ176">
    <cfRule type="cellIs" priority="284" stopIfTrue="1" operator="greaterThan">
      <formula>0</formula>
    </cfRule>
  </conditionalFormatting>
  <conditionalFormatting sqref="C180 F180">
    <cfRule type="expression" dxfId="400" priority="249">
      <formula>$AL180=1</formula>
    </cfRule>
  </conditionalFormatting>
  <conditionalFormatting sqref="C180">
    <cfRule type="expression" dxfId="399" priority="250">
      <formula>$AM180=2</formula>
    </cfRule>
  </conditionalFormatting>
  <conditionalFormatting sqref="C182 F182">
    <cfRule type="expression" dxfId="398" priority="158">
      <formula>$AL182=1</formula>
    </cfRule>
  </conditionalFormatting>
  <conditionalFormatting sqref="C182">
    <cfRule type="expression" dxfId="397" priority="159">
      <formula>$AM182=2</formula>
    </cfRule>
  </conditionalFormatting>
  <conditionalFormatting sqref="C202 F202">
    <cfRule type="expression" dxfId="396" priority="246">
      <formula>$AL202=1</formula>
    </cfRule>
  </conditionalFormatting>
  <conditionalFormatting sqref="C202">
    <cfRule type="expression" dxfId="395" priority="248">
      <formula>$AM202=2</formula>
    </cfRule>
  </conditionalFormatting>
  <conditionalFormatting sqref="C206 F206">
    <cfRule type="expression" dxfId="394" priority="1">
      <formula>$AL206=1</formula>
    </cfRule>
  </conditionalFormatting>
  <conditionalFormatting sqref="C127:E127">
    <cfRule type="expression" dxfId="393" priority="307">
      <formula>$AL$127=1</formula>
    </cfRule>
  </conditionalFormatting>
  <conditionalFormatting sqref="C148:E148">
    <cfRule type="expression" dxfId="392" priority="291">
      <formula>ISBLANK($C$148)</formula>
    </cfRule>
    <cfRule type="cellIs" priority="290" operator="greaterThan">
      <formula>0</formula>
    </cfRule>
  </conditionalFormatting>
  <conditionalFormatting sqref="D55 AE55:AE56 H155 K155 D158 AE158:AE159">
    <cfRule type="cellIs" dxfId="391" priority="519" operator="equal">
      <formula>0</formula>
    </cfRule>
  </conditionalFormatting>
  <conditionalFormatting sqref="D109 AE109:AE110">
    <cfRule type="cellIs" dxfId="390" priority="393" operator="equal">
      <formula>0</formula>
    </cfRule>
  </conditionalFormatting>
  <conditionalFormatting sqref="D211 AE211:AE212">
    <cfRule type="cellIs" dxfId="389" priority="312" operator="equal">
      <formula>0</formula>
    </cfRule>
  </conditionalFormatting>
  <conditionalFormatting sqref="E7:X8 AE7:AJ8">
    <cfRule type="expression" dxfId="388" priority="160">
      <formula>ISBLANK(E7)</formula>
    </cfRule>
  </conditionalFormatting>
  <conditionalFormatting sqref="F10 M10 U10">
    <cfRule type="expression" dxfId="387" priority="513">
      <formula>ISBLANK(F10)</formula>
    </cfRule>
  </conditionalFormatting>
  <conditionalFormatting sqref="F12 M12 U12">
    <cfRule type="expression" dxfId="386" priority="60">
      <formula>ISBLANK(F12)</formula>
    </cfRule>
  </conditionalFormatting>
  <conditionalFormatting sqref="F118 P118 F121 P121 F124 F126 AC155">
    <cfRule type="expression" dxfId="385" priority="538">
      <formula>ISBLANK(F118)</formula>
    </cfRule>
  </conditionalFormatting>
  <conditionalFormatting sqref="F170">
    <cfRule type="expression" dxfId="384" priority="1763">
      <formula>AQ234&gt;0</formula>
    </cfRule>
  </conditionalFormatting>
  <conditionalFormatting sqref="F171:F172">
    <cfRule type="expression" dxfId="383" priority="2043">
      <formula>AQ236&gt;0</formula>
    </cfRule>
  </conditionalFormatting>
  <conditionalFormatting sqref="F173">
    <cfRule type="expression" dxfId="382" priority="2053">
      <formula>AQ239&gt;0</formula>
    </cfRule>
  </conditionalFormatting>
  <conditionalFormatting sqref="F174">
    <cfRule type="expression" dxfId="381" priority="1769">
      <formula>AQ241&gt;0</formula>
    </cfRule>
  </conditionalFormatting>
  <conditionalFormatting sqref="F175:F176">
    <cfRule type="expression" dxfId="380" priority="2032">
      <formula>AQ243&gt;0</formula>
    </cfRule>
  </conditionalFormatting>
  <conditionalFormatting sqref="F198 C198">
    <cfRule type="expression" dxfId="379" priority="31">
      <formula>$AL198=1</formula>
    </cfRule>
  </conditionalFormatting>
  <conditionalFormatting sqref="F198">
    <cfRule type="expression" dxfId="378" priority="30">
      <formula>$AQ$198&gt;0</formula>
    </cfRule>
  </conditionalFormatting>
  <conditionalFormatting sqref="F200 C200">
    <cfRule type="expression" dxfId="377" priority="172">
      <formula>$AL200=1</formula>
    </cfRule>
  </conditionalFormatting>
  <conditionalFormatting sqref="F200">
    <cfRule type="expression" dxfId="376" priority="127">
      <formula>$AM$200=2</formula>
    </cfRule>
  </conditionalFormatting>
  <conditionalFormatting sqref="F224:F225">
    <cfRule type="expression" dxfId="375" priority="271">
      <formula>ISBLANK(F224)</formula>
    </cfRule>
  </conditionalFormatting>
  <conditionalFormatting sqref="F227:F229">
    <cfRule type="expression" dxfId="374" priority="266">
      <formula>ISBLANK(F227)</formula>
    </cfRule>
  </conditionalFormatting>
  <conditionalFormatting sqref="F119:I119">
    <cfRule type="expression" priority="324" stopIfTrue="1">
      <formula>$AL$120=2</formula>
    </cfRule>
    <cfRule type="cellIs" priority="325" stopIfTrue="1" operator="greaterThan">
      <formula>0</formula>
    </cfRule>
    <cfRule type="expression" dxfId="373" priority="326">
      <formula>$AL$119=1</formula>
    </cfRule>
  </conditionalFormatting>
  <conditionalFormatting sqref="F120:I120 P120:R120">
    <cfRule type="cellIs" priority="322" stopIfTrue="1" operator="greaterThan">
      <formula>0</formula>
    </cfRule>
    <cfRule type="expression" priority="321" stopIfTrue="1">
      <formula>$AL$119=2</formula>
    </cfRule>
    <cfRule type="expression" dxfId="372" priority="323">
      <formula>$AL$120</formula>
    </cfRule>
  </conditionalFormatting>
  <conditionalFormatting sqref="F127:I133 K127:M127 U127:W127">
    <cfRule type="expression" dxfId="371" priority="305">
      <formula>$AL127=2</formula>
    </cfRule>
  </conditionalFormatting>
  <conditionalFormatting sqref="F127:I133">
    <cfRule type="cellIs" priority="304" stopIfTrue="1" operator="greaterThan">
      <formula>0</formula>
    </cfRule>
  </conditionalFormatting>
  <conditionalFormatting sqref="F137:I138 O137:Q138 W138:Y138 AF138:AH138">
    <cfRule type="cellIs" priority="316" stopIfTrue="1" operator="greaterThan">
      <formula>0</formula>
    </cfRule>
    <cfRule type="expression" dxfId="370" priority="1346">
      <formula>$AO$133=2</formula>
    </cfRule>
  </conditionalFormatting>
  <conditionalFormatting sqref="F226:Z226">
    <cfRule type="expression" dxfId="369" priority="269">
      <formula>ISBLANK(F226)</formula>
    </cfRule>
  </conditionalFormatting>
  <conditionalFormatting sqref="G14 J14">
    <cfRule type="expression" dxfId="368" priority="76">
      <formula>$AL$14=1</formula>
    </cfRule>
  </conditionalFormatting>
  <conditionalFormatting sqref="G170:G176">
    <cfRule type="expression" dxfId="367" priority="1764">
      <formula>#REF!&gt;0</formula>
    </cfRule>
  </conditionalFormatting>
  <conditionalFormatting sqref="H78 K78">
    <cfRule type="expression" dxfId="366" priority="349" stopIfTrue="1">
      <formula>$AL$78=2</formula>
    </cfRule>
    <cfRule type="expression" dxfId="365" priority="350">
      <formula>$AL$72=2</formula>
    </cfRule>
    <cfRule type="cellIs" priority="348" stopIfTrue="1" operator="greaterThan">
      <formula>0</formula>
    </cfRule>
  </conditionalFormatting>
  <conditionalFormatting sqref="H80 K80">
    <cfRule type="cellIs" priority="345" stopIfTrue="1" operator="greaterThan">
      <formula>0</formula>
    </cfRule>
    <cfRule type="expression" priority="346" stopIfTrue="1">
      <formula>$AL$80=2</formula>
    </cfRule>
    <cfRule type="expression" dxfId="364" priority="347">
      <formula>$AL$72=2</formula>
    </cfRule>
  </conditionalFormatting>
  <conditionalFormatting sqref="H148 M148">
    <cfRule type="cellIs" priority="405" operator="greaterThan">
      <formula>0</formula>
    </cfRule>
    <cfRule type="expression" dxfId="363" priority="467">
      <formula>$AL$148=2</formula>
    </cfRule>
  </conditionalFormatting>
  <conditionalFormatting sqref="H149 K149 M149">
    <cfRule type="expression" dxfId="362" priority="465">
      <formula>$AL$149=2</formula>
    </cfRule>
  </conditionalFormatting>
  <conditionalFormatting sqref="H149:H154 K149:K154 M149:M154">
    <cfRule type="cellIs" priority="448" stopIfTrue="1" operator="greaterThan">
      <formula>0</formula>
    </cfRule>
  </conditionalFormatting>
  <conditionalFormatting sqref="H150 K150 M150">
    <cfRule type="expression" dxfId="361" priority="463">
      <formula>$AL$150=2</formula>
    </cfRule>
  </conditionalFormatting>
  <conditionalFormatting sqref="H151 K151 M151">
    <cfRule type="expression" dxfId="360" priority="461">
      <formula>$AL$151=2</formula>
    </cfRule>
  </conditionalFormatting>
  <conditionalFormatting sqref="H152 K152 M152">
    <cfRule type="expression" dxfId="359" priority="459">
      <formula>$AL$152=2</formula>
    </cfRule>
  </conditionalFormatting>
  <conditionalFormatting sqref="H153 K153 M153">
    <cfRule type="expression" dxfId="358" priority="457">
      <formula>$AL$153=2</formula>
    </cfRule>
  </conditionalFormatting>
  <conditionalFormatting sqref="H154 K154 M154">
    <cfRule type="expression" dxfId="357" priority="455">
      <formula>$AL$154=2</formula>
    </cfRule>
  </conditionalFormatting>
  <conditionalFormatting sqref="H148:J148">
    <cfRule type="expression" priority="289" stopIfTrue="1">
      <formula>$AN$148=2</formula>
    </cfRule>
  </conditionalFormatting>
  <conditionalFormatting sqref="H170:AJ170">
    <cfRule type="expression" dxfId="356" priority="2027">
      <formula>AV234&gt;0</formula>
    </cfRule>
  </conditionalFormatting>
  <conditionalFormatting sqref="H171:AJ172">
    <cfRule type="expression" dxfId="355" priority="2045">
      <formula>AV236&gt;0</formula>
    </cfRule>
  </conditionalFormatting>
  <conditionalFormatting sqref="H173:AJ173">
    <cfRule type="expression" dxfId="354" priority="2055">
      <formula>AV239&gt;0</formula>
    </cfRule>
  </conditionalFormatting>
  <conditionalFormatting sqref="H174:AJ174">
    <cfRule type="expression" dxfId="353" priority="2028">
      <formula>AV241&gt;0</formula>
    </cfRule>
  </conditionalFormatting>
  <conditionalFormatting sqref="H175:AJ176">
    <cfRule type="expression" dxfId="352" priority="2034">
      <formula>AV243&gt;0</formula>
    </cfRule>
  </conditionalFormatting>
  <conditionalFormatting sqref="I26">
    <cfRule type="expression" dxfId="351" priority="49">
      <formula>$AM$16=3</formula>
    </cfRule>
  </conditionalFormatting>
  <conditionalFormatting sqref="I39">
    <cfRule type="expression" dxfId="350" priority="45">
      <formula>$AM$16=3</formula>
    </cfRule>
  </conditionalFormatting>
  <conditionalFormatting sqref="I113">
    <cfRule type="expression" priority="135" stopIfTrue="1">
      <formula>$AM$113=2</formula>
    </cfRule>
    <cfRule type="expression" dxfId="349" priority="136">
      <formula>$AL$72=2</formula>
    </cfRule>
    <cfRule type="cellIs" priority="134" stopIfTrue="1" operator="greaterThan">
      <formula>0</formula>
    </cfRule>
  </conditionalFormatting>
  <conditionalFormatting sqref="I115">
    <cfRule type="cellIs" priority="137" stopIfTrue="1" operator="greaterThan">
      <formula>0</formula>
    </cfRule>
    <cfRule type="expression" priority="138" stopIfTrue="1">
      <formula>$AM$115=2</formula>
    </cfRule>
    <cfRule type="expression" dxfId="348" priority="139">
      <formula>$AL$72=2</formula>
    </cfRule>
  </conditionalFormatting>
  <conditionalFormatting sqref="I162:I167">
    <cfRule type="expression" dxfId="347" priority="29">
      <formula>ISBLANK(I162)</formula>
    </cfRule>
  </conditionalFormatting>
  <conditionalFormatting sqref="I186 L186">
    <cfRule type="expression" dxfId="346" priority="12">
      <formula>$AL186=1</formula>
    </cfRule>
  </conditionalFormatting>
  <conditionalFormatting sqref="I186">
    <cfRule type="expression" dxfId="345" priority="11">
      <formula>$AM186=2</formula>
    </cfRule>
  </conditionalFormatting>
  <conditionalFormatting sqref="I192 L192">
    <cfRule type="expression" dxfId="344" priority="8">
      <formula>$AL192=1</formula>
    </cfRule>
  </conditionalFormatting>
  <conditionalFormatting sqref="I204 L204">
    <cfRule type="expression" dxfId="343" priority="247">
      <formula>$AM$202=2</formula>
    </cfRule>
  </conditionalFormatting>
  <conditionalFormatting sqref="I26:J26">
    <cfRule type="expression" dxfId="342" priority="48">
      <formula>$AL$14=1</formula>
    </cfRule>
  </conditionalFormatting>
  <conditionalFormatting sqref="I39:J39">
    <cfRule type="expression" dxfId="341" priority="44">
      <formula>$AL$14=1</formula>
    </cfRule>
  </conditionalFormatting>
  <conditionalFormatting sqref="J16:J20">
    <cfRule type="expression" dxfId="340" priority="81">
      <formula>ISBLANK(J16)</formula>
    </cfRule>
  </conditionalFormatting>
  <conditionalFormatting sqref="J59 P59">
    <cfRule type="expression" dxfId="339" priority="392">
      <formula>$AL$59=1</formula>
    </cfRule>
    <cfRule type="expression" priority="391" stopIfTrue="1">
      <formula>$AL$59=2</formula>
    </cfRule>
  </conditionalFormatting>
  <conditionalFormatting sqref="J61 M61 P61 S61">
    <cfRule type="expression" dxfId="338" priority="390">
      <formula>$AL$61=1</formula>
    </cfRule>
    <cfRule type="expression" priority="389" stopIfTrue="1">
      <formula>$AL$61=2</formula>
    </cfRule>
  </conditionalFormatting>
  <conditionalFormatting sqref="J68">
    <cfRule type="cellIs" priority="1882" stopIfTrue="1" operator="greaterThan">
      <formula>0</formula>
    </cfRule>
    <cfRule type="expression" dxfId="337" priority="1883">
      <formula>$AL$65=2</formula>
    </cfRule>
    <cfRule type="expression" dxfId="336" priority="117">
      <formula>$AL$68=2</formula>
    </cfRule>
    <cfRule type="expression" priority="1881" stopIfTrue="1">
      <formula>$AL$69=2</formula>
    </cfRule>
  </conditionalFormatting>
  <conditionalFormatting sqref="J70">
    <cfRule type="cellIs" priority="1954" stopIfTrue="1" operator="greaterThan">
      <formula>0</formula>
    </cfRule>
    <cfRule type="expression" priority="1955" stopIfTrue="1">
      <formula>$AM$113=2</formula>
    </cfRule>
    <cfRule type="expression" dxfId="335" priority="1956">
      <formula>$AL$65=2</formula>
    </cfRule>
    <cfRule type="expression" dxfId="334" priority="116">
      <formula>$AL$70=2</formula>
    </cfRule>
  </conditionalFormatting>
  <conditionalFormatting sqref="J16:M21 P26:R26 T26:V26 X26:Z26 AB26:AD26 AF26:AH26 P39:R39 T39:V39 X39:Z39 AB39:AD39 AF39:AH39">
    <cfRule type="expression" dxfId="333" priority="68">
      <formula>$AM$16=1</formula>
    </cfRule>
    <cfRule type="expression" dxfId="332" priority="67">
      <formula>$AM$16=2</formula>
    </cfRule>
  </conditionalFormatting>
  <conditionalFormatting sqref="J21:M21">
    <cfRule type="cellIs" dxfId="331" priority="69" operator="equal">
      <formula>0</formula>
    </cfRule>
  </conditionalFormatting>
  <conditionalFormatting sqref="J65:M66 AG65:AI66">
    <cfRule type="expression" dxfId="330" priority="378">
      <formula>$AL$65=2</formula>
    </cfRule>
  </conditionalFormatting>
  <conditionalFormatting sqref="K72 O72 Y74">
    <cfRule type="cellIs" priority="351" stopIfTrue="1" operator="greaterThan">
      <formula>0</formula>
    </cfRule>
    <cfRule type="expression" dxfId="329" priority="355">
      <formula>$AL$72=2</formula>
    </cfRule>
    <cfRule type="expression" priority="352" stopIfTrue="1">
      <formula>$AM$72=2</formula>
    </cfRule>
  </conditionalFormatting>
  <conditionalFormatting sqref="K76 S76 Z76 AG76:AI76 R83:T87 W83:Y87 M90:O91 R90:T91 W90:Y91 AB90:AD91 W92">
    <cfRule type="expression" dxfId="328" priority="364">
      <formula>$AL$72=2</formula>
    </cfRule>
    <cfRule type="cellIs" priority="363" stopIfTrue="1" operator="greaterThan">
      <formula>0</formula>
    </cfRule>
  </conditionalFormatting>
  <conditionalFormatting sqref="K98 N98">
    <cfRule type="expression" priority="150" stopIfTrue="1">
      <formula>$AL98=2</formula>
    </cfRule>
    <cfRule type="expression" dxfId="327" priority="151">
      <formula>$AM96=2</formula>
    </cfRule>
  </conditionalFormatting>
  <conditionalFormatting sqref="K102 N102">
    <cfRule type="expression" priority="146" stopIfTrue="1">
      <formula>$AL102=2</formula>
    </cfRule>
    <cfRule type="expression" dxfId="326" priority="147">
      <formula>$AM100=2</formula>
    </cfRule>
  </conditionalFormatting>
  <conditionalFormatting sqref="K106 N106">
    <cfRule type="expression" priority="142" stopIfTrue="1">
      <formula>$AL106=2</formula>
    </cfRule>
    <cfRule type="expression" dxfId="325" priority="143">
      <formula>$AM104=2</formula>
    </cfRule>
  </conditionalFormatting>
  <conditionalFormatting sqref="K124 N124 S124 U124 AE124">
    <cfRule type="cellIs" dxfId="324" priority="549" operator="greaterThan">
      <formula>0</formula>
    </cfRule>
    <cfRule type="expression" dxfId="323" priority="550">
      <formula>$AL$124=2</formula>
    </cfRule>
  </conditionalFormatting>
  <conditionalFormatting sqref="K126 U126">
    <cfRule type="expression" dxfId="322" priority="547">
      <formula>$AL$126=2</formula>
    </cfRule>
    <cfRule type="cellIs" dxfId="321" priority="546" operator="greaterThan">
      <formula>0</formula>
    </cfRule>
  </conditionalFormatting>
  <conditionalFormatting sqref="K135 O135">
    <cfRule type="cellIs" priority="318" stopIfTrue="1" operator="greaterThan">
      <formula>0</formula>
    </cfRule>
    <cfRule type="expression" dxfId="320" priority="319">
      <formula>$AO$135=1</formula>
    </cfRule>
  </conditionalFormatting>
  <conditionalFormatting sqref="K96:M96 K100:M100 K104:M104">
    <cfRule type="expression" dxfId="319" priority="155">
      <formula>$AM96=2</formula>
    </cfRule>
    <cfRule type="cellIs" priority="154" stopIfTrue="1" operator="greaterThan">
      <formula>0</formula>
    </cfRule>
  </conditionalFormatting>
  <conditionalFormatting sqref="K127:M133 U127:W133">
    <cfRule type="cellIs" priority="292" stopIfTrue="1" operator="greaterThan">
      <formula>0</formula>
    </cfRule>
  </conditionalFormatting>
  <conditionalFormatting sqref="K128:M128 U128:W128">
    <cfRule type="expression" dxfId="318" priority="303">
      <formula>$AL$128=2</formula>
    </cfRule>
  </conditionalFormatting>
  <conditionalFormatting sqref="K129:M129 U129:W129">
    <cfRule type="expression" dxfId="317" priority="301">
      <formula>$AL$129=2</formula>
    </cfRule>
  </conditionalFormatting>
  <conditionalFormatting sqref="K130:M130 U130:W130">
    <cfRule type="expression" dxfId="316" priority="299">
      <formula>$AL$130=2</formula>
    </cfRule>
  </conditionalFormatting>
  <conditionalFormatting sqref="K131:M131 U131:W131">
    <cfRule type="expression" dxfId="315" priority="297">
      <formula>$AL$131=2</formula>
    </cfRule>
  </conditionalFormatting>
  <conditionalFormatting sqref="K132:M132 U132:W132">
    <cfRule type="expression" dxfId="314" priority="295">
      <formula>$AL$132=2</formula>
    </cfRule>
  </conditionalFormatting>
  <conditionalFormatting sqref="K133:M133 U133:W133">
    <cfRule type="expression" dxfId="313" priority="293">
      <formula>$AL$133=2</formula>
    </cfRule>
  </conditionalFormatting>
  <conditionalFormatting sqref="L26:L34">
    <cfRule type="cellIs" dxfId="312" priority="423" stopIfTrue="1" operator="greaterThan">
      <formula>0</formula>
    </cfRule>
    <cfRule type="expression" dxfId="311" priority="512">
      <formula>$L$24=2</formula>
    </cfRule>
  </conditionalFormatting>
  <conditionalFormatting sqref="L39:L47">
    <cfRule type="cellIs" dxfId="310" priority="501" operator="greaterThan">
      <formula>0</formula>
    </cfRule>
    <cfRule type="expression" dxfId="309" priority="502">
      <formula>$L$37=2</formula>
    </cfRule>
  </conditionalFormatting>
  <conditionalFormatting sqref="L184 I184">
    <cfRule type="expression" dxfId="308" priority="18">
      <formula>$AL184=1</formula>
    </cfRule>
  </conditionalFormatting>
  <conditionalFormatting sqref="L184">
    <cfRule type="expression" dxfId="307" priority="17">
      <formula>$AM184=2</formula>
    </cfRule>
  </conditionalFormatting>
  <conditionalFormatting sqref="L204 I204">
    <cfRule type="expression" priority="245" stopIfTrue="1">
      <formula>$AN$204=3</formula>
    </cfRule>
  </conditionalFormatting>
  <conditionalFormatting sqref="L204">
    <cfRule type="expression" dxfId="306" priority="244" stopIfTrue="1">
      <formula>$AM$204=2</formula>
    </cfRule>
  </conditionalFormatting>
  <conditionalFormatting sqref="L25:N25">
    <cfRule type="cellIs" priority="310" operator="greaterThan">
      <formula>0</formula>
    </cfRule>
    <cfRule type="expression" dxfId="305" priority="311">
      <formula>ISBLANK($L$25)</formula>
    </cfRule>
  </conditionalFormatting>
  <conditionalFormatting sqref="L26:N26">
    <cfRule type="expression" dxfId="304" priority="41">
      <formula>$AM$16=1</formula>
    </cfRule>
    <cfRule type="expression" dxfId="303" priority="40">
      <formula>$AM$16=2</formula>
    </cfRule>
  </conditionalFormatting>
  <conditionalFormatting sqref="L38:N38">
    <cfRule type="cellIs" priority="308" operator="greaterThan">
      <formula>0</formula>
    </cfRule>
    <cfRule type="expression" dxfId="302" priority="309">
      <formula>ISBLANK($L$38)</formula>
    </cfRule>
  </conditionalFormatting>
  <conditionalFormatting sqref="L39:N39">
    <cfRule type="expression" dxfId="301" priority="34">
      <formula>$AM$16=1</formula>
    </cfRule>
    <cfRule type="expression" dxfId="300" priority="33">
      <formula>$AM$16=2</formula>
    </cfRule>
  </conditionalFormatting>
  <conditionalFormatting sqref="L142:T142 F144:G144 L144:M144 R144:S144">
    <cfRule type="expression" dxfId="299" priority="19">
      <formula>ISBLANK(F142)</formula>
    </cfRule>
  </conditionalFormatting>
  <conditionalFormatting sqref="M162:M167">
    <cfRule type="expression" dxfId="298" priority="2026">
      <formula>ISBLANK($M162)</formula>
    </cfRule>
  </conditionalFormatting>
  <conditionalFormatting sqref="M83:O87">
    <cfRule type="cellIs" priority="361" stopIfTrue="1" operator="greaterThan">
      <formula>0</formula>
    </cfRule>
    <cfRule type="expression" dxfId="297" priority="362">
      <formula>$AL$72=2</formula>
    </cfRule>
  </conditionalFormatting>
  <conditionalFormatting sqref="M148:P148">
    <cfRule type="expression" priority="288" stopIfTrue="1">
      <formula>$AO$148=2</formula>
    </cfRule>
  </conditionalFormatting>
  <conditionalFormatting sqref="N16:N21">
    <cfRule type="expression" dxfId="296" priority="75">
      <formula>$AM$16=3</formula>
    </cfRule>
  </conditionalFormatting>
  <conditionalFormatting sqref="N113 T113 Y113 N115 T115">
    <cfRule type="cellIs" priority="128" stopIfTrue="1" operator="greaterThan">
      <formula>0</formula>
    </cfRule>
  </conditionalFormatting>
  <conditionalFormatting sqref="N113 T113 Y113">
    <cfRule type="expression" priority="132" stopIfTrue="1">
      <formula>$AL$113=2</formula>
    </cfRule>
    <cfRule type="expression" dxfId="295" priority="133">
      <formula>$AL$72=2</formula>
    </cfRule>
  </conditionalFormatting>
  <conditionalFormatting sqref="N115 T115 AD115">
    <cfRule type="expression" priority="129" stopIfTrue="1">
      <formula>$AL$115=2</formula>
    </cfRule>
  </conditionalFormatting>
  <conditionalFormatting sqref="N16:O21">
    <cfRule type="expression" dxfId="294" priority="74">
      <formula>$AL$14=1</formula>
    </cfRule>
  </conditionalFormatting>
  <conditionalFormatting sqref="O94">
    <cfRule type="expression" dxfId="293" priority="157">
      <formula>$AL$72=2</formula>
    </cfRule>
    <cfRule type="cellIs" priority="156" stopIfTrue="1" operator="greaterThan">
      <formula>0</formula>
    </cfRule>
  </conditionalFormatting>
  <conditionalFormatting sqref="O188 R188">
    <cfRule type="expression" dxfId="292" priority="16">
      <formula>$AM186=2</formula>
    </cfRule>
  </conditionalFormatting>
  <conditionalFormatting sqref="O190 R190">
    <cfRule type="expression" dxfId="291" priority="14">
      <formula>$AM186=2</formula>
    </cfRule>
  </conditionalFormatting>
  <conditionalFormatting sqref="O194 R194">
    <cfRule type="expression" dxfId="290" priority="7">
      <formula>$AM192=2</formula>
    </cfRule>
  </conditionalFormatting>
  <conditionalFormatting sqref="O96:Q96 T96:V96 Y96:AA96 AD96:AF96 O100:Q100 T100:V100 Y100:AA100 AD100:AF100 O104:Q104 T104:V104 Y104:AA104 AD104:AF104">
    <cfRule type="expression" dxfId="289" priority="153">
      <formula>$AN96=2</formula>
    </cfRule>
    <cfRule type="cellIs" priority="152" stopIfTrue="1" operator="greaterThan">
      <formula>0</formula>
    </cfRule>
  </conditionalFormatting>
  <conditionalFormatting sqref="O140:R140 W140:Z140">
    <cfRule type="cellIs" dxfId="288" priority="37" operator="equal">
      <formula>0</formula>
    </cfRule>
  </conditionalFormatting>
  <conditionalFormatting sqref="O140:R140">
    <cfRule type="expression" dxfId="287" priority="2048">
      <formula>$AR$138=3</formula>
    </cfRule>
  </conditionalFormatting>
  <conditionalFormatting sqref="P39:P47">
    <cfRule type="cellIs" dxfId="286" priority="1160" operator="greaterThan">
      <formula>0</formula>
    </cfRule>
    <cfRule type="expression" dxfId="285" priority="1161">
      <formula>$P$37=2</formula>
    </cfRule>
  </conditionalFormatting>
  <conditionalFormatting sqref="P78">
    <cfRule type="expression" dxfId="284" priority="344">
      <formula>$AM$78=2</formula>
    </cfRule>
    <cfRule type="cellIs" priority="343" stopIfTrue="1" operator="greaterThan">
      <formula>0</formula>
    </cfRule>
  </conditionalFormatting>
  <conditionalFormatting sqref="P80">
    <cfRule type="expression" dxfId="283" priority="342">
      <formula>$AM$80=2</formula>
    </cfRule>
    <cfRule type="cellIs" priority="341" stopIfTrue="1" operator="greaterThan">
      <formula>0</formula>
    </cfRule>
  </conditionalFormatting>
  <conditionalFormatting sqref="P227">
    <cfRule type="expression" dxfId="282" priority="267">
      <formula>ISBLANK(P227)</formula>
    </cfRule>
  </conditionalFormatting>
  <conditionalFormatting sqref="P25:R34">
    <cfRule type="expression" dxfId="281" priority="409">
      <formula>$P$24=2</formula>
    </cfRule>
    <cfRule type="cellIs" priority="408" stopIfTrue="1" operator="greaterThan">
      <formula>0</formula>
    </cfRule>
  </conditionalFormatting>
  <conditionalFormatting sqref="Q70 Z70 AG70">
    <cfRule type="expression" priority="1957" stopIfTrue="1">
      <formula>$AL$70=2</formula>
    </cfRule>
    <cfRule type="expression" dxfId="280" priority="1958">
      <formula>$AL$65=2</formula>
    </cfRule>
    <cfRule type="cellIs" priority="118" stopIfTrue="1" operator="greaterThan">
      <formula>0</formula>
    </cfRule>
  </conditionalFormatting>
  <conditionalFormatting sqref="Q162:Q167 U162:U167 AC162:AC167">
    <cfRule type="expression" dxfId="279" priority="166" stopIfTrue="1">
      <formula>ISBLANK(Q162)</formula>
    </cfRule>
  </conditionalFormatting>
  <conditionalFormatting sqref="R188 O188">
    <cfRule type="expression" priority="15" stopIfTrue="1">
      <formula>$AL188=2</formula>
    </cfRule>
  </conditionalFormatting>
  <conditionalFormatting sqref="R188">
    <cfRule type="expression" dxfId="278" priority="10" stopIfTrue="1">
      <formula>$AM188=2</formula>
    </cfRule>
  </conditionalFormatting>
  <conditionalFormatting sqref="R190 O190">
    <cfRule type="expression" priority="13" stopIfTrue="1">
      <formula>$AL190=2</formula>
    </cfRule>
  </conditionalFormatting>
  <conditionalFormatting sqref="R190">
    <cfRule type="expression" dxfId="277" priority="9" stopIfTrue="1">
      <formula>$AM190=2</formula>
    </cfRule>
  </conditionalFormatting>
  <conditionalFormatting sqref="R194 O194">
    <cfRule type="expression" priority="6" stopIfTrue="1">
      <formula>$AL194=2</formula>
    </cfRule>
  </conditionalFormatting>
  <conditionalFormatting sqref="R194">
    <cfRule type="expression" dxfId="276" priority="5" stopIfTrue="1">
      <formula>$AM194=2</formula>
    </cfRule>
  </conditionalFormatting>
  <conditionalFormatting sqref="R196">
    <cfRule type="expression" dxfId="275" priority="4">
      <formula>$AM192=2</formula>
    </cfRule>
    <cfRule type="cellIs" priority="3" stopIfTrue="1" operator="greaterThan">
      <formula>0</formula>
    </cfRule>
  </conditionalFormatting>
  <conditionalFormatting sqref="S27:S28 S29:T34">
    <cfRule type="cellIs" dxfId="274" priority="419" operator="greaterThan">
      <formula>0</formula>
    </cfRule>
  </conditionalFormatting>
  <conditionalFormatting sqref="S27:S34">
    <cfRule type="expression" dxfId="273" priority="509">
      <formula>$R$24=2</formula>
    </cfRule>
  </conditionalFormatting>
  <conditionalFormatting sqref="S155">
    <cfRule type="cellIs" dxfId="272" priority="1233" operator="lessThan">
      <formula>$H155</formula>
    </cfRule>
    <cfRule type="expression" dxfId="271" priority="280">
      <formula>ISBLANK(S155)</formula>
    </cfRule>
  </conditionalFormatting>
  <conditionalFormatting sqref="S65:U66">
    <cfRule type="cellIs" priority="369" stopIfTrue="1" operator="greaterThan">
      <formula>0</formula>
    </cfRule>
    <cfRule type="expression" dxfId="270" priority="370">
      <formula>$AL$65=2</formula>
    </cfRule>
  </conditionalFormatting>
  <conditionalFormatting sqref="S66:U66">
    <cfRule type="expression" priority="365" stopIfTrue="1">
      <formula>$AM$66=2</formula>
    </cfRule>
  </conditionalFormatting>
  <conditionalFormatting sqref="S155:U155">
    <cfRule type="expression" dxfId="269" priority="1234">
      <formula>$AN$155=2</formula>
    </cfRule>
  </conditionalFormatting>
  <conditionalFormatting sqref="T26:T28">
    <cfRule type="cellIs" dxfId="268" priority="1226" operator="greaterThan">
      <formula>0</formula>
    </cfRule>
  </conditionalFormatting>
  <conditionalFormatting sqref="T26:T34">
    <cfRule type="expression" dxfId="267" priority="1227">
      <formula>$T$24=2</formula>
    </cfRule>
  </conditionalFormatting>
  <conditionalFormatting sqref="T39:T47">
    <cfRule type="expression" dxfId="266" priority="1205">
      <formula>$T$37=2</formula>
    </cfRule>
    <cfRule type="cellIs" dxfId="265" priority="1204" operator="greaterThan">
      <formula>0</formula>
    </cfRule>
  </conditionalFormatting>
  <conditionalFormatting sqref="T72">
    <cfRule type="cellIs" priority="277" stopIfTrue="1" operator="greaterThan">
      <formula>0</formula>
    </cfRule>
    <cfRule type="expression" priority="278" stopIfTrue="1">
      <formula>$AM$72=2</formula>
    </cfRule>
    <cfRule type="expression" dxfId="264" priority="279">
      <formula>$AL$72=2</formula>
    </cfRule>
  </conditionalFormatting>
  <conditionalFormatting sqref="T98:V98 Y98:AA98">
    <cfRule type="cellIs" priority="148" stopIfTrue="1" operator="greaterThan">
      <formula>0</formula>
    </cfRule>
    <cfRule type="expression" dxfId="263" priority="149">
      <formula>$AM98=2</formula>
    </cfRule>
  </conditionalFormatting>
  <conditionalFormatting sqref="T102:V102 Y102:AA102">
    <cfRule type="cellIs" priority="144" stopIfTrue="1" operator="greaterThan">
      <formula>0</formula>
    </cfRule>
    <cfRule type="expression" dxfId="262" priority="145">
      <formula>$AM102=2</formula>
    </cfRule>
  </conditionalFormatting>
  <conditionalFormatting sqref="T106:V106 Y106:AA106">
    <cfRule type="cellIs" priority="140" stopIfTrue="1" operator="greaterThan">
      <formula>0</formula>
    </cfRule>
    <cfRule type="expression" dxfId="261" priority="141">
      <formula>$AM106=2</formula>
    </cfRule>
  </conditionalFormatting>
  <conditionalFormatting sqref="U162:U167">
    <cfRule type="expression" priority="167" stopIfTrue="1">
      <formula>$AL$159=1</formula>
    </cfRule>
  </conditionalFormatting>
  <conditionalFormatting sqref="U166">
    <cfRule type="expression" dxfId="260" priority="515">
      <formula>$AL$166&lt;1</formula>
    </cfRule>
  </conditionalFormatting>
  <conditionalFormatting sqref="U167">
    <cfRule type="expression" dxfId="259" priority="168">
      <formula>$AL$167&lt;1</formula>
    </cfRule>
  </conditionalFormatting>
  <conditionalFormatting sqref="W93:Y93">
    <cfRule type="expression" priority="327" stopIfTrue="1">
      <formula>$AL$72=1</formula>
    </cfRule>
    <cfRule type="cellIs" dxfId="258" priority="328" operator="equal">
      <formula>0</formula>
    </cfRule>
  </conditionalFormatting>
  <conditionalFormatting sqref="W17:Z17">
    <cfRule type="cellIs" dxfId="257" priority="80" operator="equal">
      <formula>0</formula>
    </cfRule>
    <cfRule type="expression" priority="79" stopIfTrue="1">
      <formula>$AL$17=1</formula>
    </cfRule>
    <cfRule type="expression" dxfId="256" priority="66">
      <formula>$AM$16=1</formula>
    </cfRule>
    <cfRule type="expression" dxfId="255" priority="65">
      <formula>$AM$16=2</formula>
    </cfRule>
  </conditionalFormatting>
  <conditionalFormatting sqref="W20:Z21">
    <cfRule type="expression" priority="77" stopIfTrue="1">
      <formula>$AL$17=1</formula>
    </cfRule>
    <cfRule type="cellIs" dxfId="254" priority="78" operator="equal">
      <formula>0</formula>
    </cfRule>
  </conditionalFormatting>
  <conditionalFormatting sqref="W140:Z140">
    <cfRule type="expression" dxfId="253" priority="2049">
      <formula>$AR$140=3</formula>
    </cfRule>
  </conditionalFormatting>
  <conditionalFormatting sqref="X26:X34">
    <cfRule type="expression" dxfId="252" priority="1229">
      <formula>$X$24=2</formula>
    </cfRule>
    <cfRule type="cellIs" dxfId="251" priority="1228" operator="greaterThan">
      <formula>0</formula>
    </cfRule>
  </conditionalFormatting>
  <conditionalFormatting sqref="X39:X47">
    <cfRule type="cellIs" dxfId="250" priority="1214" operator="greaterThan">
      <formula>0</formula>
    </cfRule>
    <cfRule type="expression" dxfId="249" priority="1215">
      <formula>$X$37=2</formula>
    </cfRule>
  </conditionalFormatting>
  <conditionalFormatting sqref="X148 AC148">
    <cfRule type="expression" dxfId="248" priority="447">
      <formula>$AM$148=2</formula>
    </cfRule>
  </conditionalFormatting>
  <conditionalFormatting sqref="X148:X149 AC148:AC149">
    <cfRule type="cellIs" priority="444" stopIfTrue="1" operator="greaterThan">
      <formula>0</formula>
    </cfRule>
  </conditionalFormatting>
  <conditionalFormatting sqref="X149 AC149">
    <cfRule type="expression" dxfId="247" priority="445">
      <formula>$AM$149=2</formula>
    </cfRule>
  </conditionalFormatting>
  <conditionalFormatting sqref="X150 AC150">
    <cfRule type="expression" dxfId="246" priority="443">
      <formula>$AM$150=2</formula>
    </cfRule>
    <cfRule type="cellIs" priority="442" stopIfTrue="1" operator="greaterThan">
      <formula>1</formula>
    </cfRule>
  </conditionalFormatting>
  <conditionalFormatting sqref="X151 AC151">
    <cfRule type="expression" dxfId="245" priority="441">
      <formula>$AM$151=2</formula>
    </cfRule>
  </conditionalFormatting>
  <conditionalFormatting sqref="X151:X154 AC151:AC154">
    <cfRule type="cellIs" priority="430" stopIfTrue="1" operator="greaterThan">
      <formula>0</formula>
    </cfRule>
  </conditionalFormatting>
  <conditionalFormatting sqref="X152 AC152">
    <cfRule type="expression" dxfId="244" priority="439">
      <formula>$AM$152=2</formula>
    </cfRule>
  </conditionalFormatting>
  <conditionalFormatting sqref="X153 AC153">
    <cfRule type="expression" dxfId="243" priority="437">
      <formula>$AM$153=2</formula>
    </cfRule>
  </conditionalFormatting>
  <conditionalFormatting sqref="X154 AC154">
    <cfRule type="expression" dxfId="242" priority="435">
      <formula>$AM$154=2</formula>
    </cfRule>
  </conditionalFormatting>
  <conditionalFormatting sqref="X227">
    <cfRule type="expression" dxfId="241" priority="268">
      <formula>ISBLANK(X227)</formula>
    </cfRule>
  </conditionalFormatting>
  <conditionalFormatting sqref="Y72">
    <cfRule type="cellIs" priority="274" stopIfTrue="1" operator="greaterThan">
      <formula>0</formula>
    </cfRule>
    <cfRule type="expression" priority="275" stopIfTrue="1">
      <formula>$AM$72=2</formula>
    </cfRule>
    <cfRule type="expression" dxfId="240" priority="276">
      <formula>$AL$72=2</formula>
    </cfRule>
  </conditionalFormatting>
  <conditionalFormatting sqref="Y162:Y167">
    <cfRule type="expression" dxfId="239" priority="38" stopIfTrue="1">
      <formula>ISBLANK(Y162)</formula>
    </cfRule>
    <cfRule type="cellIs" dxfId="238" priority="39" operator="greaterThan">
      <formula>$AM$170</formula>
    </cfRule>
  </conditionalFormatting>
  <conditionalFormatting sqref="Z23 AC23 AF23 AI23">
    <cfRule type="expression" priority="260" stopIfTrue="1">
      <formula>$AL23=2</formula>
    </cfRule>
    <cfRule type="expression" dxfId="237" priority="261">
      <formula>$AL23=1</formula>
    </cfRule>
  </conditionalFormatting>
  <conditionalFormatting sqref="Z68 Q68:Q69">
    <cfRule type="expression" dxfId="236" priority="1242">
      <formula>$AL$65=2</formula>
    </cfRule>
    <cfRule type="expression" priority="1240" stopIfTrue="1">
      <formula>$AM$68=2</formula>
    </cfRule>
    <cfRule type="cellIs" priority="1241" stopIfTrue="1" operator="greaterThan">
      <formula>0</formula>
    </cfRule>
  </conditionalFormatting>
  <conditionalFormatting sqref="Z124">
    <cfRule type="cellIs" dxfId="235" priority="262" operator="greaterThan">
      <formula>0</formula>
    </cfRule>
    <cfRule type="expression" dxfId="234" priority="263">
      <formula>$AL$124=2</formula>
    </cfRule>
  </conditionalFormatting>
  <conditionalFormatting sqref="Z65:AB66">
    <cfRule type="expression" dxfId="233" priority="368">
      <formula>$AL$65=2</formula>
    </cfRule>
    <cfRule type="cellIs" priority="367" stopIfTrue="1" operator="greaterThan">
      <formula>0</formula>
    </cfRule>
  </conditionalFormatting>
  <conditionalFormatting sqref="Z66:AB66 AG66:AI66">
    <cfRule type="expression" priority="366" stopIfTrue="1">
      <formula>$AL$66=2</formula>
    </cfRule>
  </conditionalFormatting>
  <conditionalFormatting sqref="AA14:AA15">
    <cfRule type="expression" dxfId="232" priority="82">
      <formula>ISBLANK(AA14)</formula>
    </cfRule>
  </conditionalFormatting>
  <conditionalFormatting sqref="AA17">
    <cfRule type="expression" dxfId="231" priority="73">
      <formula>$AM$16=3</formula>
    </cfRule>
  </conditionalFormatting>
  <conditionalFormatting sqref="AA17:AB17">
    <cfRule type="expression" dxfId="230" priority="72">
      <formula>$AL$14=1</formula>
    </cfRule>
  </conditionalFormatting>
  <conditionalFormatting sqref="AA14:AD15">
    <cfRule type="expression" dxfId="229" priority="63">
      <formula>$AM$16=2</formula>
    </cfRule>
    <cfRule type="expression" dxfId="228" priority="64">
      <formula>$AM$16=1</formula>
    </cfRule>
  </conditionalFormatting>
  <conditionalFormatting sqref="AB26:AB34">
    <cfRule type="cellIs" dxfId="227" priority="503" operator="greaterThan">
      <formula>0</formula>
    </cfRule>
    <cfRule type="expression" dxfId="226" priority="504">
      <formula>$AB$24=2</formula>
    </cfRule>
  </conditionalFormatting>
  <conditionalFormatting sqref="AB39:AB47">
    <cfRule type="expression" dxfId="225" priority="1225">
      <formula>$AB$37=2</formula>
    </cfRule>
    <cfRule type="cellIs" dxfId="224" priority="1224" operator="greaterThan">
      <formula>0</formula>
    </cfRule>
  </conditionalFormatting>
  <conditionalFormatting sqref="AC10">
    <cfRule type="expression" dxfId="223" priority="24">
      <formula>ISBLANK(AC10)</formula>
    </cfRule>
  </conditionalFormatting>
  <conditionalFormatting sqref="AC74">
    <cfRule type="cellIs" priority="1756" stopIfTrue="1" operator="greaterThan">
      <formula>0</formula>
    </cfRule>
    <cfRule type="expression" dxfId="222" priority="1757">
      <formula>$AN$74=2</formula>
    </cfRule>
  </conditionalFormatting>
  <conditionalFormatting sqref="AC162:AC167">
    <cfRule type="cellIs" dxfId="221" priority="1351" operator="greaterThan">
      <formula>$AM$170</formula>
    </cfRule>
  </conditionalFormatting>
  <conditionalFormatting sqref="AD115 N115 T115">
    <cfRule type="expression" dxfId="220" priority="131">
      <formula>$AL$72=2</formula>
    </cfRule>
  </conditionalFormatting>
  <conditionalFormatting sqref="AD115">
    <cfRule type="cellIs" priority="130" stopIfTrue="1" operator="greaterThan">
      <formula>0</formula>
    </cfRule>
  </conditionalFormatting>
  <conditionalFormatting sqref="AD231">
    <cfRule type="expression" dxfId="219" priority="270">
      <formula>ISBLANK(AD231)</formula>
    </cfRule>
  </conditionalFormatting>
  <conditionalFormatting sqref="AD6:AJ6">
    <cfRule type="cellIs" dxfId="218" priority="32" operator="equal">
      <formula>0</formula>
    </cfRule>
  </conditionalFormatting>
  <conditionalFormatting sqref="AE14:AE15">
    <cfRule type="expression" dxfId="217" priority="71">
      <formula>$AM$16=3</formula>
    </cfRule>
  </conditionalFormatting>
  <conditionalFormatting sqref="AE14:AF15">
    <cfRule type="expression" dxfId="216" priority="70">
      <formula>$AL$14=1</formula>
    </cfRule>
  </conditionalFormatting>
  <conditionalFormatting sqref="AE17:AH17">
    <cfRule type="cellIs" dxfId="215" priority="62" operator="equal">
      <formula>0</formula>
    </cfRule>
    <cfRule type="expression" priority="61" stopIfTrue="1">
      <formula>$AL$17=1</formula>
    </cfRule>
  </conditionalFormatting>
  <conditionalFormatting sqref="AF61 AI61">
    <cfRule type="expression" priority="2046" stopIfTrue="1">
      <formula>$AM$61=2</formula>
    </cfRule>
    <cfRule type="expression" dxfId="214" priority="2047">
      <formula>$AM$61=1</formula>
    </cfRule>
  </conditionalFormatting>
  <conditionalFormatting sqref="AF118 AI118">
    <cfRule type="expression" dxfId="213" priority="427">
      <formula>$AM$118=1</formula>
    </cfRule>
  </conditionalFormatting>
  <conditionalFormatting sqref="AF126 AI126">
    <cfRule type="expression" priority="112" stopIfTrue="1">
      <formula>$AL$72=2</formula>
    </cfRule>
  </conditionalFormatting>
  <conditionalFormatting sqref="AF129 AI129">
    <cfRule type="expression" dxfId="212" priority="115">
      <formula>$AM$129=1</formula>
    </cfRule>
    <cfRule type="expression" priority="111" stopIfTrue="1">
      <formula>$AL$72=2</formula>
    </cfRule>
  </conditionalFormatting>
  <conditionalFormatting sqref="AF131 AI131">
    <cfRule type="expression" dxfId="211" priority="113">
      <formula>$AN$129=2</formula>
    </cfRule>
  </conditionalFormatting>
  <conditionalFormatting sqref="AF131">
    <cfRule type="expression" priority="107" stopIfTrue="1">
      <formula>$AN$131=3</formula>
    </cfRule>
  </conditionalFormatting>
  <conditionalFormatting sqref="AF135 AI135">
    <cfRule type="expression" dxfId="210" priority="426">
      <formula>$AL$135=1</formula>
    </cfRule>
  </conditionalFormatting>
  <conditionalFormatting sqref="AF142">
    <cfRule type="expression" dxfId="209" priority="22">
      <formula>$AO142=1</formula>
    </cfRule>
  </conditionalFormatting>
  <conditionalFormatting sqref="AF29:AH34">
    <cfRule type="expression" dxfId="208" priority="163">
      <formula>ISBLANK($AF29)</formula>
    </cfRule>
  </conditionalFormatting>
  <conditionalFormatting sqref="AF42:AH47">
    <cfRule type="expression" dxfId="207" priority="162">
      <formula>ISBLANK($AF42)</formula>
    </cfRule>
  </conditionalFormatting>
  <conditionalFormatting sqref="AF59:AH59 AF63:AH63">
    <cfRule type="expression" dxfId="206" priority="388">
      <formula>ISBLANK(AF59)</formula>
    </cfRule>
  </conditionalFormatting>
  <conditionalFormatting sqref="AG162:AG167">
    <cfRule type="expression" dxfId="205" priority="25">
      <formula>ISBLANK(AG162)</formula>
    </cfRule>
    <cfRule type="expression" dxfId="204" priority="26">
      <formula>$AN162=1</formula>
    </cfRule>
  </conditionalFormatting>
  <conditionalFormatting sqref="AG65:AI66 J65:M66">
    <cfRule type="cellIs" priority="377" stopIfTrue="1" operator="greaterThan">
      <formula>0</formula>
    </cfRule>
  </conditionalFormatting>
  <conditionalFormatting sqref="AG162:AI167">
    <cfRule type="expression" dxfId="203" priority="28">
      <formula>$AP162=1</formula>
    </cfRule>
    <cfRule type="expression" dxfId="202" priority="27">
      <formula>$AO162=1</formula>
    </cfRule>
  </conditionalFormatting>
  <conditionalFormatting sqref="AI126 AF126">
    <cfRule type="expression" dxfId="201" priority="415">
      <formula>$AM$126=1</formula>
    </cfRule>
  </conditionalFormatting>
  <conditionalFormatting sqref="AI126">
    <cfRule type="expression" dxfId="200" priority="315" stopIfTrue="1">
      <formula>$AN$126=2</formula>
    </cfRule>
  </conditionalFormatting>
  <conditionalFormatting sqref="AI131 AF131">
    <cfRule type="expression" priority="110" stopIfTrue="1">
      <formula>$AN$131=2</formula>
    </cfRule>
  </conditionalFormatting>
  <conditionalFormatting sqref="AI131">
    <cfRule type="expression" dxfId="199" priority="108">
      <formula>$AN$131=3</formula>
    </cfRule>
  </conditionalFormatting>
  <conditionalFormatting sqref="AI142 AF144 AI144">
    <cfRule type="expression" dxfId="198" priority="20">
      <formula>$AO142=1</formula>
    </cfRule>
  </conditionalFormatting>
  <conditionalFormatting sqref="AI142">
    <cfRule type="expression" dxfId="197" priority="23">
      <formula>$AP142=2</formula>
    </cfRule>
  </conditionalFormatting>
  <conditionalFormatting sqref="AI144">
    <cfRule type="expression" dxfId="196" priority="21">
      <formula>$AP144=2</formula>
    </cfRule>
  </conditionalFormatting>
  <dataValidations count="2">
    <dataValidation type="list" allowBlank="1" showInputMessage="1" showErrorMessage="1" sqref="S65:U65 P118:R118 F124:I124 F126:I133 O137:Q137" xr:uid="{2132A64C-F549-49EE-B00F-7C82B1EA9EDD}">
      <formula1>Shape</formula1>
    </dataValidation>
    <dataValidation type="list" allowBlank="1" showInputMessage="1" showErrorMessage="1" sqref="J65:M65 Q68:T68 F118:I118 F137:I137 N113 N115 Q70" xr:uid="{FEBCC3A8-EC37-41E3-A974-DC1AE946D1B3}">
      <formula1>Material</formula1>
    </dataValidation>
  </dataValidations>
  <pageMargins left="0.2" right="0.2" top="0.5" bottom="0.25" header="0.3" footer="0.3"/>
  <pageSetup orientation="portrait" r:id="rId1"/>
  <rowBreaks count="4" manualBreakCount="4">
    <brk id="54" max="16383" man="1"/>
    <brk id="108" max="16383" man="1"/>
    <brk id="157" max="16383" man="1"/>
    <brk id="210" max="16383" man="1"/>
  </rowBreaks>
  <colBreaks count="1" manualBreakCount="1">
    <brk id="42" max="1048575" man="1"/>
  </colBreaks>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A75D05C-E913-4A6F-B739-B4602DDB4488}">
          <x14:formula1>
            <xm:f>Tables!$H$2:$H$4</xm:f>
          </x14:formula1>
          <xm:sqref>C128:C133</xm:sqref>
        </x14:dataValidation>
        <x14:dataValidation type="list" allowBlank="1" showInputMessage="1" showErrorMessage="1" xr:uid="{5E02C0C2-0DD2-4D71-8FFC-B7382509F98F}">
          <x14:formula1>
            <xm:f>Tables!$H$2:$H$5</xm:f>
          </x14:formula1>
          <xm:sqref>C127:E127</xm:sqref>
        </x14:dataValidation>
        <x14:dataValidation type="list" allowBlank="1" showInputMessage="1" showErrorMessage="1" xr:uid="{85204C5B-4F59-4419-8287-C64F6D6740E9}">
          <x14:formula1>
            <xm:f>Tables!$H$9:$H$14</xm:f>
          </x14:formula1>
          <xm:sqref>L142:T142</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7298EBA6-81EF-4BBF-82FB-AE2E25DF589E}">
          <x14:formula1>
            <xm:f>Tables!$B$8</xm:f>
          </x14:formula1>
          <xm:sqref>AD6:AJ6 AE7:AJ8 E7:X8 F10 F12 M10 M12 U10 U12 AC10 G14 J14 J16:M20 AA14:AD15 Z23 AC23 AF23 AI23 L25:N34 P25:R34 T25:V34 X25:Z34 AB25:AD34 AF26:AH26 AF29:AH34 L38:N47 P38:R47 T38:V47 X38:Z47 AB38:AD47 AF39:AH39 AF42:AH47 J59 P59 J61 M61 P61 S61 AF59:AH59 AF61 AI61 AF63:AH63 B63 J66:M66 S66:U66 Z65:AB66 AG65:AI66 J68 Z68:AB68 Q69:S69 J70 Z70:AB70 AG70:AI70 B72 K72 O72 T72 Y72 Y74 AC74:AJ74 K76:O76 S76:U76 Z76:AB76 AG76:AI76 H78 K78 P78:T78 H80 K80 P80:T80 M83:O87 R83:T87 W83:Y87 M90:O91 R90:T91 W90:Y93 AB90:AD91 O94:Q94 K96:M96 O96:Q96 K98 N98 K100:M100 O100:Q100 K102 N102 K104:M104 O104:Q104 K106 N106 T96:V96 T98:V98 T100:V100 T102:V102 T104:V104 T106:V106 Y106:AA106 Y104:AA104 Y102:AA102 Y100:AA100 Y98:AA98 Y96:AA96 AD96:AF96 AD100:AF100 AD104:AF104 I113 I115 T113:V113 T115:V115 Y113:AA113 AD115:AF115 F119:I121 P120:R121 K124:M124 P124:R124 U124:W124 Z124:AB124 AE124:AG124 K126:M133 P126:R133 U126:W133 AF126 AI126 AF129 AI129 AF131 AI131 AF135 AI135 K135 O135 F138:I138 O138:Q138 W138:Y138 AF138:AH138 O140:R140 W140:Z140 AF142 AI142 AI144 AF144 R144:S144 L144:M144 F144:G144 C148:E154 H148:J154 M148:P154 S148:U155 X148:Z154 AC148:AF155 I162:K167 M162:O167 Q162:S167 U162:W167 Y162:AA167 AC162:AE167 AG162:AI167 B170:AJ176 C180 F180 C182 F182 I184 L184 I186 L186 O188 R188 O190 R190 C198 F198 C200 F200 C202 F202 I204 L204 F224:Z226 F227:L227 P227:S227 X227:Z227 F228:Z228 F229:J229 AD231:AH231 I192 L192 O194 R194 C206 F206</xm:sqref>
        </x14:dataValidation>
        <x14:dataValidation type="list" allowBlank="1" showInputMessage="1" showErrorMessage="1" xr:uid="{547B4046-2924-4893-9621-247A9F81D2AD}">
          <x14:formula1>
            <xm:f>Tables!$K$27:$K$30</xm:f>
          </x14:formula1>
          <xm:sqref>R196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1FFD-A585-498B-A860-98CD59CA84A3}">
  <sheetPr codeName="Sheet7">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8" customWidth="1"/>
    <col min="2" max="36" width="2.77734375" style="28" customWidth="1"/>
    <col min="37" max="37" width="1.77734375" style="28" customWidth="1"/>
    <col min="38" max="38" width="2.77734375" style="28" customWidth="1"/>
    <col min="39" max="43" width="5.77734375" style="22" hidden="1" customWidth="1"/>
    <col min="44" max="79" width="2.77734375" style="28" customWidth="1"/>
    <col min="80" max="92" width="2.77734375" style="28" hidden="1" customWidth="1"/>
    <col min="93" max="16384" width="8.88671875" style="28" hidden="1"/>
  </cols>
  <sheetData>
    <row r="1" spans="2:88" ht="15" customHeight="1" x14ac:dyDescent="0.3">
      <c r="G1" s="3"/>
      <c r="H1" s="3"/>
      <c r="I1" s="3"/>
      <c r="J1" s="3"/>
      <c r="K1" s="3"/>
      <c r="L1" s="3"/>
      <c r="M1" s="3"/>
      <c r="N1" s="192" t="s">
        <v>372</v>
      </c>
      <c r="O1" s="192"/>
      <c r="P1" s="192"/>
      <c r="Q1" s="192"/>
      <c r="R1" s="192"/>
      <c r="S1" s="192"/>
      <c r="T1" s="192"/>
      <c r="U1" s="192"/>
      <c r="V1" s="192"/>
      <c r="W1" s="192"/>
      <c r="X1" s="192"/>
      <c r="Y1" s="192"/>
      <c r="Z1" s="192"/>
      <c r="AA1" s="192"/>
      <c r="AB1" s="192"/>
      <c r="AC1" s="192"/>
      <c r="AD1" s="192"/>
      <c r="AE1" s="192"/>
      <c r="AF1" s="192"/>
      <c r="AG1" s="192"/>
      <c r="AH1" s="192"/>
      <c r="AI1" s="192"/>
      <c r="AJ1" s="192"/>
      <c r="AK1" s="192"/>
      <c r="BD1" s="192" t="str">
        <f>N1</f>
        <v>Form 2C.2 - Underground Detention
Design Form Attachment</v>
      </c>
      <c r="BE1" s="192"/>
      <c r="BF1" s="192"/>
      <c r="BG1" s="192"/>
      <c r="BH1" s="192"/>
      <c r="BI1" s="192"/>
      <c r="BJ1" s="192"/>
      <c r="BK1" s="192"/>
      <c r="BL1" s="192"/>
      <c r="BM1" s="192"/>
      <c r="BN1" s="192"/>
      <c r="BO1" s="192"/>
      <c r="BP1" s="192"/>
      <c r="BQ1" s="192"/>
      <c r="BR1" s="192"/>
      <c r="BS1" s="192"/>
      <c r="BT1" s="192"/>
      <c r="BU1" s="192"/>
      <c r="BV1" s="192"/>
      <c r="BW1" s="192"/>
      <c r="BX1" s="192"/>
      <c r="BY1" s="192"/>
      <c r="BZ1" s="192"/>
    </row>
    <row r="2" spans="2:88" ht="15" customHeight="1" x14ac:dyDescent="0.3">
      <c r="E2" s="3"/>
      <c r="F2" s="3"/>
      <c r="G2" s="3"/>
      <c r="H2" s="3"/>
      <c r="I2" s="3"/>
      <c r="J2" s="3"/>
      <c r="K2" s="3"/>
      <c r="L2" s="3"/>
      <c r="M2" s="3"/>
      <c r="N2" s="192"/>
      <c r="O2" s="192"/>
      <c r="P2" s="192"/>
      <c r="Q2" s="192"/>
      <c r="R2" s="192"/>
      <c r="S2" s="192"/>
      <c r="T2" s="192"/>
      <c r="U2" s="192"/>
      <c r="V2" s="192"/>
      <c r="W2" s="192"/>
      <c r="X2" s="192"/>
      <c r="Y2" s="192"/>
      <c r="Z2" s="192"/>
      <c r="AA2" s="192"/>
      <c r="AB2" s="192"/>
      <c r="AC2" s="192"/>
      <c r="AD2" s="192"/>
      <c r="AE2" s="192"/>
      <c r="AF2" s="192"/>
      <c r="AG2" s="192"/>
      <c r="AH2" s="192"/>
      <c r="AI2" s="192"/>
      <c r="AJ2" s="192"/>
      <c r="AK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row>
    <row r="3" spans="2:88" ht="15" customHeight="1" x14ac:dyDescent="0.3">
      <c r="E3" s="3"/>
      <c r="F3" s="3"/>
      <c r="G3" s="3"/>
      <c r="H3" s="3"/>
      <c r="I3" s="3"/>
      <c r="J3" s="3"/>
      <c r="K3" s="3"/>
      <c r="L3" s="3"/>
      <c r="M3" s="3"/>
      <c r="N3" s="192"/>
      <c r="O3" s="192"/>
      <c r="P3" s="192"/>
      <c r="Q3" s="192"/>
      <c r="R3" s="192"/>
      <c r="S3" s="192"/>
      <c r="T3" s="192"/>
      <c r="U3" s="192"/>
      <c r="V3" s="192"/>
      <c r="W3" s="192"/>
      <c r="X3" s="192"/>
      <c r="Y3" s="192"/>
      <c r="Z3" s="192"/>
      <c r="AA3" s="192"/>
      <c r="AB3" s="192"/>
      <c r="AC3" s="192"/>
      <c r="AD3" s="192"/>
      <c r="AE3" s="192"/>
      <c r="AF3" s="192"/>
      <c r="AG3" s="192"/>
      <c r="AH3" s="192"/>
      <c r="AI3" s="192"/>
      <c r="AJ3" s="192"/>
      <c r="AK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row>
    <row r="4" spans="2:88" ht="15" customHeight="1" x14ac:dyDescent="0.3">
      <c r="E4" s="3"/>
      <c r="F4" s="3"/>
      <c r="G4" s="3"/>
      <c r="H4" s="3"/>
      <c r="I4" s="3"/>
      <c r="J4" s="3"/>
      <c r="K4" s="3"/>
      <c r="L4" s="3"/>
      <c r="M4" s="3"/>
      <c r="N4" s="192"/>
      <c r="O4" s="192"/>
      <c r="P4" s="192"/>
      <c r="Q4" s="192"/>
      <c r="R4" s="192"/>
      <c r="S4" s="192"/>
      <c r="T4" s="192"/>
      <c r="U4" s="192"/>
      <c r="V4" s="192"/>
      <c r="W4" s="192"/>
      <c r="X4" s="192"/>
      <c r="Y4" s="192"/>
      <c r="Z4" s="192"/>
      <c r="AA4" s="192"/>
      <c r="AB4" s="192"/>
      <c r="AC4" s="192"/>
      <c r="AD4" s="192"/>
      <c r="AE4" s="192"/>
      <c r="AF4" s="192"/>
      <c r="AG4" s="192"/>
      <c r="AH4" s="192"/>
      <c r="AI4" s="192"/>
      <c r="AJ4" s="192"/>
      <c r="AK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row>
    <row r="5" spans="2:88" ht="4.95" customHeight="1" x14ac:dyDescent="0.3">
      <c r="E5" s="3"/>
      <c r="F5" s="3"/>
      <c r="G5" s="3"/>
      <c r="H5" s="3"/>
      <c r="I5" s="3"/>
      <c r="J5" s="3"/>
      <c r="K5" s="3"/>
      <c r="L5" s="3"/>
      <c r="M5" s="3"/>
      <c r="N5" s="3"/>
      <c r="O5" s="3"/>
      <c r="P5" s="3"/>
      <c r="Q5" s="3"/>
      <c r="R5" s="3"/>
      <c r="S5" s="3"/>
      <c r="T5" s="3"/>
      <c r="U5" s="3"/>
      <c r="V5" s="3"/>
      <c r="W5" s="3"/>
      <c r="X5" s="3"/>
      <c r="Y5" s="3"/>
      <c r="Z5" s="3"/>
      <c r="AA5" s="3"/>
      <c r="AB5" s="25"/>
      <c r="AC5" s="25"/>
      <c r="AD5" s="25"/>
      <c r="AE5" s="25"/>
      <c r="AF5" s="25"/>
      <c r="AG5" s="25"/>
      <c r="AH5" s="25"/>
      <c r="AI5" s="25"/>
      <c r="AJ5" s="25"/>
    </row>
    <row r="6" spans="2:88" ht="15" customHeight="1" x14ac:dyDescent="0.3">
      <c r="B6" s="1" t="s">
        <v>170</v>
      </c>
      <c r="C6" s="1"/>
      <c r="D6" s="1"/>
      <c r="AR6" s="191" t="s">
        <v>67</v>
      </c>
      <c r="AS6" s="191"/>
      <c r="AT6" s="191"/>
      <c r="AU6" s="191"/>
      <c r="AV6" s="191"/>
      <c r="AW6" s="191"/>
      <c r="AX6" s="191"/>
      <c r="AY6" s="191"/>
      <c r="AZ6" s="191"/>
      <c r="BA6" s="191"/>
      <c r="BB6" s="191"/>
      <c r="BC6" s="191"/>
      <c r="BD6" s="191"/>
      <c r="BE6" s="191"/>
      <c r="BF6" s="191"/>
      <c r="CJ6" s="75"/>
    </row>
    <row r="7" spans="2:88" ht="15" customHeight="1" x14ac:dyDescent="0.3">
      <c r="D7" s="2" t="s">
        <v>128</v>
      </c>
      <c r="E7" s="235">
        <f>'Form 2C.1 - Design'!E7</f>
        <v>0</v>
      </c>
      <c r="F7" s="235"/>
      <c r="G7" s="235"/>
      <c r="H7" s="235"/>
      <c r="I7" s="235"/>
      <c r="J7" s="235"/>
      <c r="K7" s="235"/>
      <c r="L7" s="235"/>
      <c r="M7" s="235"/>
      <c r="N7" s="235"/>
      <c r="O7" s="235"/>
      <c r="P7" s="235"/>
      <c r="Q7" s="235"/>
      <c r="R7" s="235"/>
      <c r="S7" s="235"/>
      <c r="T7" s="235"/>
      <c r="U7" s="235"/>
      <c r="V7" s="235"/>
      <c r="W7" s="235"/>
      <c r="X7" s="235"/>
      <c r="Y7" s="235"/>
      <c r="AD7" s="2" t="s">
        <v>171</v>
      </c>
      <c r="AE7" s="236">
        <f>'Form 2C.1 - Design'!AE7</f>
        <v>0</v>
      </c>
      <c r="AF7" s="236"/>
      <c r="AG7" s="236"/>
      <c r="AH7" s="236"/>
      <c r="AI7" s="236"/>
      <c r="AJ7" s="236"/>
      <c r="AR7" s="191"/>
      <c r="AS7" s="191"/>
      <c r="AT7" s="191"/>
      <c r="AU7" s="191"/>
      <c r="AV7" s="191"/>
      <c r="AW7" s="191"/>
      <c r="AX7" s="191"/>
      <c r="AY7" s="191"/>
      <c r="AZ7" s="191"/>
      <c r="BA7" s="191"/>
      <c r="BB7" s="191"/>
      <c r="BC7" s="191"/>
      <c r="BD7" s="191"/>
      <c r="BE7" s="191"/>
      <c r="BF7" s="191"/>
      <c r="BG7" s="23"/>
      <c r="BH7" s="23"/>
      <c r="BI7" s="23"/>
      <c r="BJ7" s="23"/>
      <c r="BK7" s="23"/>
      <c r="BL7" s="23"/>
      <c r="BM7" s="23"/>
      <c r="BN7" s="23"/>
      <c r="BO7" s="23"/>
      <c r="BP7" s="23"/>
      <c r="BQ7" s="23"/>
      <c r="BR7" s="23"/>
      <c r="BS7" s="23"/>
      <c r="BT7" s="23"/>
      <c r="BU7" s="26"/>
      <c r="BV7" s="26"/>
      <c r="BW7" s="26"/>
      <c r="BX7" s="26"/>
      <c r="BY7" s="26"/>
      <c r="BZ7" s="26"/>
      <c r="CA7" s="26"/>
      <c r="CB7" s="26"/>
      <c r="CC7" s="26"/>
      <c r="CD7" s="26"/>
      <c r="CE7" s="26"/>
      <c r="CF7" s="26"/>
      <c r="CG7" s="26"/>
      <c r="CH7" s="26"/>
      <c r="CI7" s="26"/>
      <c r="CJ7" s="106"/>
    </row>
    <row r="8" spans="2:88" ht="15" customHeight="1" x14ac:dyDescent="0.3">
      <c r="D8" s="2" t="s">
        <v>129</v>
      </c>
      <c r="E8" s="237">
        <f>'Form 2C.1 - Design'!E8</f>
        <v>0</v>
      </c>
      <c r="F8" s="237"/>
      <c r="G8" s="237"/>
      <c r="H8" s="237"/>
      <c r="I8" s="237"/>
      <c r="J8" s="237"/>
      <c r="K8" s="237"/>
      <c r="L8" s="237"/>
      <c r="M8" s="237"/>
      <c r="N8" s="237"/>
      <c r="O8" s="237"/>
      <c r="P8" s="237"/>
      <c r="Q8" s="237"/>
      <c r="R8" s="237"/>
      <c r="S8" s="237"/>
      <c r="T8" s="237"/>
      <c r="U8" s="237"/>
      <c r="V8" s="237"/>
      <c r="W8" s="237"/>
      <c r="X8" s="237"/>
      <c r="Y8" s="237"/>
      <c r="AB8" s="2"/>
      <c r="AE8" s="68"/>
      <c r="AF8" s="68"/>
      <c r="AG8" s="68"/>
      <c r="AH8" s="68"/>
      <c r="AI8" s="68"/>
      <c r="AJ8" s="68"/>
      <c r="AR8" s="23">
        <v>1</v>
      </c>
      <c r="AS8" s="86" t="s">
        <v>351</v>
      </c>
      <c r="AT8" s="92"/>
      <c r="AU8" s="23"/>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75"/>
      <c r="BV8" s="75"/>
      <c r="BW8" s="75"/>
      <c r="BX8" s="75"/>
      <c r="BY8" s="75"/>
      <c r="BZ8" s="75"/>
      <c r="CA8" s="75"/>
      <c r="CB8" s="75"/>
      <c r="CC8" s="75"/>
      <c r="CD8" s="75"/>
      <c r="CE8" s="75"/>
      <c r="CF8" s="75"/>
      <c r="CG8" s="75"/>
      <c r="CH8" s="75"/>
      <c r="CI8" s="75"/>
      <c r="CJ8" s="26"/>
    </row>
    <row r="9" spans="2:88" ht="15" customHeight="1" x14ac:dyDescent="0.3">
      <c r="S9" s="2" t="s">
        <v>172</v>
      </c>
      <c r="T9" s="238">
        <f>'Form 2C.1 - Design'!O140</f>
        <v>0</v>
      </c>
      <c r="U9" s="238"/>
      <c r="V9" s="238"/>
      <c r="W9" s="238"/>
      <c r="X9" s="238"/>
      <c r="Y9" s="238"/>
      <c r="AA9" s="12"/>
      <c r="AC9" s="12"/>
      <c r="AR9" s="92"/>
      <c r="AS9" s="23" t="s">
        <v>94</v>
      </c>
      <c r="AT9" s="105" t="s">
        <v>352</v>
      </c>
      <c r="AU9" s="23"/>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75"/>
      <c r="BV9" s="75"/>
      <c r="BW9" s="75"/>
      <c r="BX9" s="75"/>
      <c r="BY9" s="75"/>
      <c r="BZ9" s="75"/>
      <c r="CA9" s="75"/>
      <c r="CB9" s="75"/>
      <c r="CC9" s="75"/>
      <c r="CD9" s="75"/>
      <c r="CE9" s="75"/>
      <c r="CF9" s="75"/>
      <c r="CG9" s="75"/>
      <c r="CH9" s="75"/>
      <c r="CI9" s="75"/>
    </row>
    <row r="10" spans="2:88" ht="15" customHeight="1" x14ac:dyDescent="0.3">
      <c r="E10" s="2" t="s">
        <v>363</v>
      </c>
      <c r="F10" s="62"/>
      <c r="G10" s="12" t="s">
        <v>364</v>
      </c>
      <c r="H10" s="102"/>
      <c r="I10" s="62"/>
      <c r="J10" s="12" t="s">
        <v>365</v>
      </c>
      <c r="S10" s="2" t="s">
        <v>173</v>
      </c>
      <c r="T10" s="239">
        <f>'Form 2C.1 - Design'!W140</f>
        <v>0</v>
      </c>
      <c r="U10" s="239"/>
      <c r="V10" s="239"/>
      <c r="W10" s="239"/>
      <c r="X10" s="239"/>
      <c r="Y10" s="239"/>
      <c r="AA10" s="12"/>
      <c r="AC10" s="12"/>
      <c r="AD10" s="2" t="s">
        <v>515</v>
      </c>
      <c r="AE10" s="240">
        <f>'Form 2C.1 - Design'!AE8</f>
        <v>0</v>
      </c>
      <c r="AF10" s="240"/>
      <c r="AG10" s="240"/>
      <c r="AH10" s="240"/>
      <c r="AI10" s="240"/>
      <c r="AJ10" s="240"/>
      <c r="AS10" s="4" t="s">
        <v>95</v>
      </c>
      <c r="AT10" s="105" t="s">
        <v>353</v>
      </c>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6"/>
      <c r="BV10" s="26"/>
      <c r="BW10" s="26"/>
      <c r="BX10" s="26"/>
      <c r="BY10" s="26"/>
      <c r="BZ10" s="26"/>
      <c r="CA10" s="26"/>
      <c r="CB10" s="26"/>
      <c r="CC10" s="26"/>
      <c r="CD10" s="26"/>
      <c r="CE10" s="26"/>
      <c r="CF10" s="26"/>
      <c r="CG10" s="26"/>
      <c r="CH10" s="26"/>
      <c r="CI10" s="26"/>
      <c r="CJ10" s="26"/>
    </row>
    <row r="11" spans="2:88" ht="15" customHeight="1" x14ac:dyDescent="0.3">
      <c r="AA11" s="12"/>
      <c r="AB11" s="12"/>
      <c r="AC11" s="12"/>
      <c r="AD11" s="12"/>
      <c r="AE11" s="12"/>
      <c r="AF11" s="12"/>
      <c r="AG11" s="12"/>
      <c r="AH11" s="12"/>
      <c r="AI11" s="12"/>
      <c r="AJ11" s="12"/>
      <c r="AK11" s="12"/>
      <c r="AM11" s="96">
        <f>IF(AND(ISBLANK(F10),ISBLANK(I10)),0,1)</f>
        <v>0</v>
      </c>
      <c r="AN11" s="96">
        <f>IF(ISBLANK(F10),0,1)</f>
        <v>0</v>
      </c>
      <c r="AO11" s="96">
        <f>IF(ISBLANK(I10),0,2)</f>
        <v>0</v>
      </c>
      <c r="AP11" s="96">
        <f>IF(ISBLANK(F10),1,IF(ISBLANK(I10),2,3))</f>
        <v>1</v>
      </c>
      <c r="AQ11" s="96">
        <f>SUM(AN11:AO11)</f>
        <v>0</v>
      </c>
      <c r="AR11" s="23"/>
      <c r="AS11" s="4" t="s">
        <v>104</v>
      </c>
      <c r="AT11" s="28" t="s">
        <v>354</v>
      </c>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6"/>
      <c r="BV11" s="26"/>
      <c r="BW11" s="26"/>
      <c r="BX11" s="26"/>
      <c r="BY11" s="26"/>
      <c r="BZ11" s="26"/>
      <c r="CA11" s="26"/>
      <c r="CB11" s="26"/>
      <c r="CC11" s="26"/>
      <c r="CD11" s="26"/>
      <c r="CE11" s="26"/>
      <c r="CF11" s="26"/>
      <c r="CG11" s="26"/>
      <c r="CH11" s="26"/>
      <c r="CI11" s="26"/>
      <c r="CJ11" s="26"/>
    </row>
    <row r="12" spans="2:88" ht="15" customHeight="1" x14ac:dyDescent="0.3">
      <c r="C12" s="2"/>
      <c r="E12" s="2" t="s">
        <v>179</v>
      </c>
      <c r="F12" s="62"/>
      <c r="G12" s="28" t="s">
        <v>355</v>
      </c>
      <c r="M12" s="107"/>
      <c r="U12" s="2" t="s">
        <v>356</v>
      </c>
      <c r="V12" s="62"/>
      <c r="W12" s="12" t="s">
        <v>357</v>
      </c>
      <c r="AG12" s="2" t="s">
        <v>358</v>
      </c>
      <c r="AH12" s="186"/>
      <c r="AI12" s="186"/>
      <c r="AM12" s="96">
        <f>IF(AND(ISBLANK(V12),ISBLANK(V14)),0,1)</f>
        <v>0</v>
      </c>
      <c r="AN12" s="96">
        <f>IF(ISBLANK(V12),0,1)</f>
        <v>0</v>
      </c>
      <c r="AO12" s="96">
        <f>IF(ISBLANK(V14),0,1)</f>
        <v>0</v>
      </c>
      <c r="AP12" s="96">
        <f>IF(ISBLANK(V12),1,IF(ISBLANK(V14),2,3))</f>
        <v>1</v>
      </c>
      <c r="AR12" s="23"/>
      <c r="AS12" s="4" t="s">
        <v>105</v>
      </c>
      <c r="AT12" s="28" t="s">
        <v>375</v>
      </c>
    </row>
    <row r="13" spans="2:88" ht="4.95" customHeight="1" x14ac:dyDescent="0.3">
      <c r="C13" s="2"/>
      <c r="D13" s="2"/>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6"/>
      <c r="BV13" s="26"/>
      <c r="BW13" s="26"/>
      <c r="BX13" s="26"/>
      <c r="BY13" s="26"/>
      <c r="BZ13" s="26"/>
      <c r="CA13" s="26"/>
      <c r="CB13" s="26"/>
      <c r="CC13" s="26"/>
      <c r="CD13" s="26"/>
      <c r="CE13" s="26"/>
      <c r="CF13" s="26"/>
      <c r="CG13" s="26"/>
      <c r="CH13" s="26"/>
      <c r="CI13" s="26"/>
      <c r="CJ13" s="26"/>
    </row>
    <row r="14" spans="2:88" ht="15" customHeight="1" x14ac:dyDescent="0.3">
      <c r="F14" s="62"/>
      <c r="G14" s="28" t="s">
        <v>359</v>
      </c>
      <c r="V14" s="62"/>
      <c r="W14" s="12" t="s">
        <v>360</v>
      </c>
      <c r="AG14" s="2" t="s">
        <v>361</v>
      </c>
      <c r="AH14" s="186"/>
      <c r="AI14" s="186"/>
      <c r="AM14" s="96">
        <f>IF(ISBLANK(V12),0,1)</f>
        <v>0</v>
      </c>
      <c r="AN14" s="96">
        <f>IF(ISBLANK(V14),0,2)</f>
        <v>0</v>
      </c>
      <c r="AO14" s="96">
        <f>SUM(AM14:AN14)</f>
        <v>0</v>
      </c>
      <c r="AR14" s="117" t="s">
        <v>428</v>
      </c>
      <c r="AS14" s="105" t="s">
        <v>429</v>
      </c>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6"/>
      <c r="BV14" s="26"/>
      <c r="BW14" s="26"/>
      <c r="BX14" s="26"/>
      <c r="BY14" s="26"/>
      <c r="BZ14" s="26"/>
      <c r="CA14" s="26"/>
      <c r="CB14" s="26"/>
      <c r="CC14" s="26"/>
      <c r="CD14" s="26"/>
      <c r="CE14" s="26"/>
      <c r="CF14" s="26"/>
      <c r="CG14" s="26"/>
      <c r="CH14" s="26"/>
      <c r="CI14" s="26"/>
      <c r="CJ14" s="26"/>
    </row>
    <row r="15" spans="2:88" ht="15" customHeight="1" x14ac:dyDescent="0.3">
      <c r="AK15" s="2"/>
      <c r="AL15" s="2"/>
      <c r="AR15" s="117">
        <v>3</v>
      </c>
      <c r="AS15" s="28" t="s">
        <v>466</v>
      </c>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6"/>
      <c r="BV15" s="26"/>
      <c r="BW15" s="26"/>
      <c r="BX15" s="26"/>
      <c r="BY15" s="26"/>
      <c r="BZ15" s="26"/>
      <c r="CA15" s="26"/>
      <c r="CB15" s="26"/>
      <c r="CC15" s="26"/>
      <c r="CD15" s="26"/>
      <c r="CE15" s="26"/>
      <c r="CF15" s="26"/>
      <c r="CG15" s="26"/>
      <c r="CH15" s="26"/>
      <c r="CI15" s="26"/>
      <c r="CJ15" s="26"/>
    </row>
    <row r="16" spans="2:88" ht="15" customHeight="1" x14ac:dyDescent="0.3">
      <c r="B16" s="62"/>
      <c r="C16" s="28" t="s">
        <v>118</v>
      </c>
      <c r="E16" s="62"/>
      <c r="F16" s="28" t="s">
        <v>117</v>
      </c>
      <c r="G16" s="2"/>
      <c r="H16" s="28" t="s">
        <v>381</v>
      </c>
      <c r="AE16" s="2"/>
      <c r="AK16" s="2"/>
      <c r="AL16" s="2"/>
      <c r="AM16" s="96">
        <f>IF(AND(ISBLANK(B16),ISBLANK(E16)),1,2)</f>
        <v>1</v>
      </c>
      <c r="AN16" s="96">
        <f>IF(ISBLANK(B16),1,2)</f>
        <v>1</v>
      </c>
      <c r="AO16" s="96">
        <f>IF(ISBLANK(B16),0,2)</f>
        <v>0</v>
      </c>
      <c r="AP16" s="96">
        <f>IF(ISBLANK(B16),1,IF(ISBLANK(E16),2,3))</f>
        <v>1</v>
      </c>
      <c r="AS16" s="4" t="s">
        <v>94</v>
      </c>
      <c r="AT16" s="28" t="s">
        <v>467</v>
      </c>
      <c r="AU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6"/>
      <c r="BV16" s="26"/>
      <c r="BW16" s="26"/>
      <c r="BX16" s="26"/>
      <c r="BY16" s="26"/>
      <c r="BZ16" s="26"/>
      <c r="CA16" s="26"/>
      <c r="CB16" s="26"/>
      <c r="CC16" s="26"/>
      <c r="CD16" s="26"/>
      <c r="CE16" s="26"/>
      <c r="CF16" s="26"/>
      <c r="CG16" s="26"/>
      <c r="CH16" s="26"/>
      <c r="CI16" s="26"/>
      <c r="CJ16" s="26"/>
    </row>
    <row r="17" spans="2:88" ht="4.95" customHeight="1" x14ac:dyDescent="0.3">
      <c r="B17" s="2"/>
      <c r="C17" s="2"/>
      <c r="D17" s="2"/>
      <c r="E17" s="2"/>
      <c r="F17" s="2"/>
      <c r="G17" s="2"/>
      <c r="AE17" s="2"/>
      <c r="AF17" s="2"/>
      <c r="AG17" s="2"/>
      <c r="AH17" s="2"/>
      <c r="AI17" s="2"/>
      <c r="AJ17" s="2"/>
      <c r="AK17" s="2"/>
      <c r="AL17" s="2"/>
      <c r="AR17" s="23"/>
      <c r="AS17" s="23"/>
      <c r="AT17" s="105"/>
      <c r="AU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6"/>
      <c r="BV17" s="26"/>
      <c r="BW17" s="26"/>
      <c r="BX17" s="26"/>
      <c r="BY17" s="26"/>
      <c r="BZ17" s="26"/>
      <c r="CA17" s="26"/>
      <c r="CB17" s="26"/>
      <c r="CC17" s="26"/>
      <c r="CD17" s="26"/>
      <c r="CE17" s="26"/>
      <c r="CF17" s="26"/>
      <c r="CG17" s="26"/>
      <c r="CH17" s="26"/>
      <c r="CI17" s="26"/>
      <c r="CJ17" s="26"/>
    </row>
    <row r="18" spans="2:88" ht="15" customHeight="1" x14ac:dyDescent="0.3">
      <c r="B18" s="62"/>
      <c r="C18" s="28" t="s">
        <v>118</v>
      </c>
      <c r="E18" s="62"/>
      <c r="F18" s="28" t="s">
        <v>117</v>
      </c>
      <c r="G18" s="2"/>
      <c r="H18" s="28" t="s">
        <v>362</v>
      </c>
      <c r="AK18" s="2"/>
      <c r="AL18" s="2"/>
      <c r="AM18" s="96">
        <f>IF(AND(ISBLANK(B18),ISBLANK(E18)),1,2)</f>
        <v>1</v>
      </c>
      <c r="AN18" s="96">
        <f>IF(ISBLANK(B18),1,2)</f>
        <v>1</v>
      </c>
      <c r="AO18" s="96">
        <f>IF(ISBLANK(B18),0,2)</f>
        <v>0</v>
      </c>
      <c r="AP18" s="96">
        <f>IF(ISBLANK(B18),1,IF(ISBLANK(E18),2,3))</f>
        <v>1</v>
      </c>
      <c r="AR18" s="26"/>
      <c r="AS18" s="4" t="s">
        <v>95</v>
      </c>
      <c r="AT18" s="105" t="s">
        <v>468</v>
      </c>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6"/>
      <c r="BV18" s="26"/>
      <c r="BW18" s="26"/>
      <c r="BX18" s="26"/>
      <c r="BY18" s="26"/>
      <c r="BZ18" s="26"/>
      <c r="CA18" s="26"/>
      <c r="CB18" s="26"/>
      <c r="CC18" s="26"/>
      <c r="CD18" s="26"/>
      <c r="CE18" s="26"/>
      <c r="CF18" s="26"/>
      <c r="CG18" s="26"/>
      <c r="CH18" s="26"/>
      <c r="CI18" s="26"/>
      <c r="CJ18" s="26"/>
    </row>
    <row r="19" spans="2:88" ht="4.95" customHeight="1" x14ac:dyDescent="0.3">
      <c r="B19" s="2"/>
      <c r="C19" s="2"/>
      <c r="D19" s="2"/>
      <c r="E19" s="2"/>
      <c r="F19" s="2"/>
      <c r="G19" s="2"/>
      <c r="AE19" s="2"/>
      <c r="AF19" s="2"/>
      <c r="AG19" s="2"/>
      <c r="AH19" s="2"/>
      <c r="AI19" s="2"/>
      <c r="AJ19" s="2"/>
      <c r="AK19" s="2"/>
      <c r="AL19" s="2"/>
      <c r="AR19" s="26"/>
      <c r="AS19" s="23"/>
      <c r="AT19" s="105"/>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6"/>
      <c r="BV19" s="26"/>
      <c r="BW19" s="26"/>
      <c r="BX19" s="26"/>
      <c r="BY19" s="26"/>
      <c r="BZ19" s="26"/>
      <c r="CA19" s="26"/>
      <c r="CB19" s="26"/>
      <c r="CC19" s="26"/>
      <c r="CD19" s="26"/>
      <c r="CE19" s="26"/>
      <c r="CF19" s="26"/>
      <c r="CG19" s="26"/>
      <c r="CH19" s="26"/>
      <c r="CI19" s="26"/>
      <c r="CJ19" s="26"/>
    </row>
    <row r="20" spans="2:88" ht="15" customHeight="1" x14ac:dyDescent="0.3">
      <c r="B20" s="62"/>
      <c r="C20" s="28" t="s">
        <v>118</v>
      </c>
      <c r="E20" s="62"/>
      <c r="F20" s="28" t="s">
        <v>117</v>
      </c>
      <c r="G20" s="2"/>
      <c r="H20" s="28" t="s">
        <v>378</v>
      </c>
      <c r="AJ20" s="2"/>
      <c r="AK20" s="2"/>
      <c r="AL20" s="2"/>
      <c r="AM20" s="96">
        <f>IF(AND(ISBLANK(B20),ISBLANK(E20)),1,2)</f>
        <v>1</v>
      </c>
      <c r="AN20" s="96">
        <f>IF(ISBLANK(B20),1,2)</f>
        <v>1</v>
      </c>
      <c r="AO20" s="96">
        <f>IF(ISBLANK(B20),0,2)</f>
        <v>0</v>
      </c>
      <c r="AP20" s="96">
        <f>IF(ISBLANK(B20),1,IF(ISBLANK(E20),2,3))</f>
        <v>1</v>
      </c>
      <c r="AR20" s="26"/>
      <c r="AS20" s="23" t="s">
        <v>104</v>
      </c>
      <c r="AT20" s="28" t="s">
        <v>469</v>
      </c>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6"/>
      <c r="BV20" s="26"/>
      <c r="BW20" s="26"/>
      <c r="BX20" s="26"/>
      <c r="BY20" s="26"/>
      <c r="BZ20" s="26"/>
      <c r="CA20" s="26"/>
      <c r="CB20" s="26"/>
      <c r="CC20" s="26"/>
      <c r="CD20" s="26"/>
      <c r="CE20" s="26"/>
      <c r="CF20" s="26"/>
      <c r="CG20" s="26"/>
      <c r="CH20" s="26"/>
      <c r="CI20" s="26"/>
      <c r="CJ20" s="26"/>
    </row>
    <row r="21" spans="2:88" ht="4.95" customHeight="1" x14ac:dyDescent="0.3">
      <c r="B21" s="2"/>
      <c r="C21" s="2"/>
      <c r="D21" s="2"/>
      <c r="E21" s="2"/>
      <c r="F21" s="2"/>
      <c r="G21" s="2"/>
      <c r="AE21" s="2"/>
      <c r="AF21" s="2"/>
      <c r="AG21" s="2"/>
      <c r="AJ21" s="2"/>
      <c r="AK21" s="2"/>
      <c r="AL21" s="2"/>
      <c r="AR21" s="26"/>
      <c r="AS21" s="23"/>
      <c r="AT21" s="105"/>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6"/>
      <c r="BV21" s="26"/>
      <c r="BW21" s="26"/>
      <c r="BX21" s="26"/>
      <c r="BY21" s="26"/>
      <c r="BZ21" s="26"/>
      <c r="CA21" s="26"/>
      <c r="CB21" s="26"/>
      <c r="CC21" s="26"/>
      <c r="CD21" s="26"/>
      <c r="CE21" s="26"/>
      <c r="CF21" s="26"/>
      <c r="CG21" s="26"/>
      <c r="CH21" s="26"/>
      <c r="CI21" s="26"/>
      <c r="CJ21" s="26"/>
    </row>
    <row r="22" spans="2:88" ht="15" customHeight="1" x14ac:dyDescent="0.3">
      <c r="B22" s="2"/>
      <c r="C22" s="2"/>
      <c r="D22" s="2"/>
      <c r="E22" s="2"/>
      <c r="F22" s="2"/>
      <c r="G22" s="2"/>
      <c r="K22" s="188" t="str">
        <f>IF($AO$14=1,"Phase",IF($AO$14=2,"Lot","Type?"))</f>
        <v>Type?</v>
      </c>
      <c r="L22" s="188"/>
      <c r="M22" s="188"/>
      <c r="R22" s="28" t="s">
        <v>426</v>
      </c>
      <c r="Y22" s="28" t="s">
        <v>427</v>
      </c>
      <c r="AE22" s="2"/>
      <c r="AF22" s="2"/>
      <c r="AG22" s="2"/>
      <c r="AJ22" s="2"/>
      <c r="AK22" s="2"/>
      <c r="AL22" s="2"/>
      <c r="AS22" s="23" t="s">
        <v>105</v>
      </c>
      <c r="AT22" s="105" t="s">
        <v>470</v>
      </c>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6"/>
      <c r="BV22" s="26"/>
      <c r="BW22" s="26"/>
      <c r="BX22" s="26"/>
      <c r="BY22" s="26"/>
      <c r="BZ22" s="26"/>
      <c r="CA22" s="26"/>
      <c r="CB22" s="26"/>
      <c r="CC22" s="26"/>
      <c r="CD22" s="26"/>
      <c r="CE22" s="26"/>
      <c r="CF22" s="26"/>
      <c r="CG22" s="26"/>
      <c r="CH22" s="26"/>
      <c r="CI22" s="26"/>
      <c r="CJ22" s="26"/>
    </row>
    <row r="23" spans="2:88" ht="15" customHeight="1" x14ac:dyDescent="0.3">
      <c r="B23" s="188" t="s">
        <v>562</v>
      </c>
      <c r="C23" s="188"/>
      <c r="D23" s="188"/>
      <c r="F23" s="188" t="str">
        <f>IF($AO$14=1,"No. Lots",IF($AO$14=2,"Lot ID","Type?"))</f>
        <v>Type?</v>
      </c>
      <c r="G23" s="188"/>
      <c r="H23" s="188"/>
      <c r="K23" s="188" t="s">
        <v>16</v>
      </c>
      <c r="L23" s="188"/>
      <c r="M23" s="188"/>
      <c r="R23" s="188" t="s">
        <v>366</v>
      </c>
      <c r="S23" s="188"/>
      <c r="T23" s="188"/>
      <c r="Y23" s="188" t="s">
        <v>366</v>
      </c>
      <c r="Z23" s="188"/>
      <c r="AA23" s="188"/>
      <c r="AD23" s="28" t="s">
        <v>518</v>
      </c>
      <c r="AR23" s="26"/>
      <c r="AS23" s="23" t="s">
        <v>103</v>
      </c>
      <c r="AT23" s="105" t="s">
        <v>471</v>
      </c>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6"/>
      <c r="BV23" s="26"/>
      <c r="BW23" s="26"/>
      <c r="BX23" s="26"/>
      <c r="BY23" s="26"/>
      <c r="BZ23" s="26"/>
      <c r="CA23" s="26"/>
      <c r="CB23" s="26"/>
      <c r="CC23" s="26"/>
      <c r="CD23" s="26"/>
      <c r="CE23" s="26"/>
      <c r="CF23" s="26"/>
      <c r="CG23" s="26"/>
      <c r="CH23" s="26"/>
      <c r="CI23" s="26"/>
      <c r="CJ23" s="26"/>
    </row>
    <row r="24" spans="2:88" ht="15" customHeight="1" x14ac:dyDescent="0.3">
      <c r="B24" s="230"/>
      <c r="C24" s="230"/>
      <c r="D24" s="230"/>
      <c r="F24" s="230"/>
      <c r="G24" s="230"/>
      <c r="H24" s="230"/>
      <c r="K24" s="234"/>
      <c r="L24" s="234"/>
      <c r="M24" s="234"/>
      <c r="N24" s="193" t="str">
        <f>IF($AQ$11=0,"Units?",IF($AQ$11=1,"ac",IF($AQ$11=2,"sq-ft","Error")))</f>
        <v>Units?</v>
      </c>
      <c r="O24" s="193"/>
      <c r="R24" s="234"/>
      <c r="S24" s="234"/>
      <c r="T24" s="234"/>
      <c r="U24" s="193" t="str">
        <f>IF($AQ$11=0,"Units?",IF($AQ$11=1,"ac",IF($AQ$11=2,"sq-ft","Error")))</f>
        <v>Units?</v>
      </c>
      <c r="V24" s="193"/>
      <c r="Y24" s="234"/>
      <c r="Z24" s="234"/>
      <c r="AA24" s="234"/>
      <c r="AB24" s="193" t="str">
        <f>IF($AQ$11=0,"Units?",IF($AQ$11=1,"ac",IF($AQ$11=2,"sq-ft","Error")))</f>
        <v>Units?</v>
      </c>
      <c r="AC24" s="193"/>
      <c r="AE24" s="62"/>
      <c r="AF24" s="28" t="s">
        <v>117</v>
      </c>
      <c r="AH24" s="62"/>
      <c r="AI24" s="28" t="s">
        <v>118</v>
      </c>
      <c r="AM24" s="96">
        <f>IF(ISBLANK(B24),1,2)</f>
        <v>1</v>
      </c>
      <c r="AN24" s="96">
        <f>IF(AND(ISBLANK(AE24),ISBLANK(AH24)),0,1)</f>
        <v>0</v>
      </c>
      <c r="AO24" s="96">
        <f>IF(AND(ISBLANK(AE24),LEN(AH24)&gt;0),2,1)</f>
        <v>1</v>
      </c>
      <c r="AP24" s="96">
        <f>IF(ISBLANK(AE24),1,IF(ISBLANK(AH24),2,3))</f>
        <v>1</v>
      </c>
      <c r="AS24" s="23" t="s">
        <v>330</v>
      </c>
      <c r="AT24" s="105" t="s">
        <v>472</v>
      </c>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6"/>
      <c r="BV24" s="26"/>
      <c r="BW24" s="26"/>
      <c r="BX24" s="26"/>
      <c r="BY24" s="26"/>
      <c r="BZ24" s="26"/>
      <c r="CA24" s="26"/>
      <c r="CB24" s="26"/>
      <c r="CC24" s="26"/>
      <c r="CD24" s="26"/>
      <c r="CE24" s="26"/>
      <c r="CF24" s="26"/>
      <c r="CG24" s="26"/>
      <c r="CH24" s="26"/>
      <c r="CI24" s="26"/>
      <c r="CJ24" s="26"/>
    </row>
    <row r="25" spans="2:88" ht="4.95" customHeight="1" x14ac:dyDescent="0.3">
      <c r="C25" s="4"/>
      <c r="F25" s="41"/>
      <c r="G25" s="41"/>
      <c r="K25" s="109"/>
      <c r="L25" s="109"/>
      <c r="M25" s="109"/>
      <c r="N25" s="12"/>
      <c r="O25" s="12"/>
      <c r="R25" s="109"/>
      <c r="S25" s="109"/>
      <c r="T25" s="109"/>
      <c r="U25" s="12"/>
      <c r="V25" s="12"/>
      <c r="Y25" s="109"/>
      <c r="Z25" s="109"/>
      <c r="AA25" s="109"/>
      <c r="AB25" s="12"/>
      <c r="AC25" s="12"/>
      <c r="AE25" s="110"/>
      <c r="AH25" s="110"/>
      <c r="AM25" s="22">
        <f t="shared" ref="AM25:AM51" si="0">B25</f>
        <v>0</v>
      </c>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6"/>
      <c r="BV25" s="26"/>
      <c r="BW25" s="26"/>
      <c r="BX25" s="26"/>
      <c r="BY25" s="26"/>
      <c r="BZ25" s="26"/>
      <c r="CA25" s="26"/>
      <c r="CB25" s="26"/>
      <c r="CC25" s="26"/>
      <c r="CD25" s="26"/>
      <c r="CE25" s="26"/>
      <c r="CF25" s="26"/>
      <c r="CG25" s="26"/>
      <c r="CH25" s="26"/>
      <c r="CI25" s="26"/>
      <c r="CJ25" s="26"/>
    </row>
    <row r="26" spans="2:88" ht="15" customHeight="1" x14ac:dyDescent="0.3">
      <c r="B26" s="230"/>
      <c r="C26" s="230"/>
      <c r="D26" s="230"/>
      <c r="F26" s="230"/>
      <c r="G26" s="230"/>
      <c r="H26" s="230"/>
      <c r="K26" s="234"/>
      <c r="L26" s="234"/>
      <c r="M26" s="234"/>
      <c r="N26" s="193" t="str">
        <f>IF($AQ$11=0,"Units?",IF($AQ$11=1,"ac",IF($AQ$11=2,"sq-ft","Error")))</f>
        <v>Units?</v>
      </c>
      <c r="O26" s="193"/>
      <c r="R26" s="234"/>
      <c r="S26" s="234"/>
      <c r="T26" s="234"/>
      <c r="U26" s="193" t="str">
        <f>IF($AQ$11=0,"Units?",IF($AQ$11=1,"ac",IF($AQ$11=2,"sq-ft","Error")))</f>
        <v>Units?</v>
      </c>
      <c r="V26" s="193"/>
      <c r="Y26" s="234"/>
      <c r="Z26" s="234"/>
      <c r="AA26" s="234"/>
      <c r="AB26" s="193" t="str">
        <f>IF($AQ$11=0,"Units?",IF($AQ$11=1,"ac",IF($AQ$11=2,"sq-ft","Error")))</f>
        <v>Units?</v>
      </c>
      <c r="AC26" s="193"/>
      <c r="AE26" s="62"/>
      <c r="AF26" s="28" t="s">
        <v>117</v>
      </c>
      <c r="AH26" s="62"/>
      <c r="AI26" s="28" t="s">
        <v>118</v>
      </c>
      <c r="AM26" s="96">
        <f>IF(ISBLANK(B26),1,2)</f>
        <v>1</v>
      </c>
      <c r="AN26" s="96">
        <f>IF(AND(ISBLANK(AE26),ISBLANK(AH26)),0,1)</f>
        <v>0</v>
      </c>
      <c r="AO26" s="96">
        <f>IF(AND(ISBLANK(AE26),LEN(AH26)&gt;0),2,1)</f>
        <v>1</v>
      </c>
      <c r="AP26" s="96">
        <f>IF(ISBLANK(AE26),1,IF(ISBLANK(AH26),2,3))</f>
        <v>1</v>
      </c>
      <c r="AR26" s="117">
        <v>4</v>
      </c>
      <c r="AS26" s="105" t="s">
        <v>516</v>
      </c>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6"/>
      <c r="BV26" s="26"/>
      <c r="BW26" s="26"/>
      <c r="BX26" s="26"/>
      <c r="BY26" s="26"/>
      <c r="BZ26" s="26"/>
      <c r="CA26" s="26"/>
      <c r="CB26" s="26"/>
      <c r="CC26" s="26"/>
      <c r="CD26" s="26"/>
      <c r="CE26" s="26"/>
      <c r="CF26" s="26"/>
      <c r="CG26" s="26"/>
      <c r="CH26" s="26"/>
      <c r="CI26" s="26"/>
      <c r="CJ26" s="26"/>
    </row>
    <row r="27" spans="2:88" ht="4.95" customHeight="1" x14ac:dyDescent="0.3">
      <c r="C27" s="4"/>
      <c r="F27" s="41"/>
      <c r="G27" s="41"/>
      <c r="K27" s="109"/>
      <c r="L27" s="109"/>
      <c r="M27" s="109"/>
      <c r="N27" s="12"/>
      <c r="O27" s="12"/>
      <c r="R27" s="109"/>
      <c r="S27" s="109"/>
      <c r="T27" s="109"/>
      <c r="U27" s="12"/>
      <c r="V27" s="12"/>
      <c r="Y27" s="109"/>
      <c r="Z27" s="109"/>
      <c r="AA27" s="109"/>
      <c r="AB27" s="12"/>
      <c r="AC27" s="12"/>
      <c r="AE27" s="110"/>
      <c r="AH27" s="110"/>
      <c r="AM27" s="22">
        <f t="shared" si="0"/>
        <v>0</v>
      </c>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6"/>
      <c r="BV27" s="26"/>
      <c r="BW27" s="26"/>
      <c r="BX27" s="26"/>
      <c r="BY27" s="26"/>
      <c r="BZ27" s="26"/>
      <c r="CA27" s="26"/>
      <c r="CB27" s="26"/>
      <c r="CC27" s="26"/>
      <c r="CD27" s="26"/>
      <c r="CE27" s="26"/>
      <c r="CF27" s="26"/>
      <c r="CG27" s="26"/>
      <c r="CH27" s="26"/>
      <c r="CI27" s="26"/>
      <c r="CJ27" s="26"/>
    </row>
    <row r="28" spans="2:88" ht="15" customHeight="1" x14ac:dyDescent="0.3">
      <c r="B28" s="230"/>
      <c r="C28" s="230"/>
      <c r="D28" s="230"/>
      <c r="F28" s="230"/>
      <c r="G28" s="230"/>
      <c r="H28" s="230"/>
      <c r="K28" s="234"/>
      <c r="L28" s="234"/>
      <c r="M28" s="234"/>
      <c r="N28" s="193" t="str">
        <f>IF($AQ$11=0,"Units?",IF($AQ$11=1,"ac",IF($AQ$11=2,"sq-ft","Error")))</f>
        <v>Units?</v>
      </c>
      <c r="O28" s="193"/>
      <c r="R28" s="234"/>
      <c r="S28" s="234"/>
      <c r="T28" s="234"/>
      <c r="U28" s="193" t="str">
        <f>IF($AQ$11=0,"Units?",IF($AQ$11=1,"ac",IF($AQ$11=2,"sq-ft","Error")))</f>
        <v>Units?</v>
      </c>
      <c r="V28" s="193"/>
      <c r="Y28" s="234"/>
      <c r="Z28" s="234"/>
      <c r="AA28" s="234"/>
      <c r="AB28" s="193" t="str">
        <f>IF($AQ$11=0,"Units?",IF($AQ$11=1,"ac",IF($AQ$11=2,"sq-ft","Error")))</f>
        <v>Units?</v>
      </c>
      <c r="AC28" s="193"/>
      <c r="AE28" s="62"/>
      <c r="AF28" s="28" t="s">
        <v>117</v>
      </c>
      <c r="AH28" s="62"/>
      <c r="AI28" s="28" t="s">
        <v>118</v>
      </c>
      <c r="AM28" s="96">
        <f>IF(ISBLANK(B28),1,2)</f>
        <v>1</v>
      </c>
      <c r="AN28" s="96">
        <f>IF(AND(ISBLANK(AE28),ISBLANK(AH28)),0,1)</f>
        <v>0</v>
      </c>
      <c r="AO28" s="96">
        <f>IF(AND(ISBLANK(AE28),LEN(AH28)&gt;0),2,1)</f>
        <v>1</v>
      </c>
      <c r="AP28" s="96">
        <f>IF(ISBLANK(AE28),1,IF(ISBLANK(AH28),2,3))</f>
        <v>1</v>
      </c>
      <c r="AR28" s="117">
        <v>5</v>
      </c>
      <c r="AS28" s="28" t="s">
        <v>565</v>
      </c>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6"/>
      <c r="BV28" s="26"/>
      <c r="BW28" s="26"/>
      <c r="BX28" s="26"/>
      <c r="BY28" s="26"/>
      <c r="BZ28" s="26"/>
      <c r="CA28" s="26"/>
      <c r="CB28" s="26"/>
      <c r="CC28" s="26"/>
      <c r="CD28" s="26"/>
      <c r="CE28" s="26"/>
      <c r="CF28" s="26"/>
      <c r="CG28" s="26"/>
      <c r="CH28" s="26"/>
      <c r="CI28" s="26"/>
      <c r="CJ28" s="26"/>
    </row>
    <row r="29" spans="2:88" ht="4.95" customHeight="1" x14ac:dyDescent="0.3">
      <c r="C29" s="4"/>
      <c r="F29" s="41"/>
      <c r="G29" s="41"/>
      <c r="K29" s="109"/>
      <c r="L29" s="109"/>
      <c r="M29" s="109"/>
      <c r="N29" s="12"/>
      <c r="O29" s="12"/>
      <c r="R29" s="109"/>
      <c r="S29" s="109"/>
      <c r="T29" s="109"/>
      <c r="U29" s="12"/>
      <c r="V29" s="12"/>
      <c r="Y29" s="109"/>
      <c r="Z29" s="109"/>
      <c r="AA29" s="109"/>
      <c r="AB29" s="12"/>
      <c r="AC29" s="12"/>
      <c r="AE29" s="110"/>
      <c r="AH29" s="110"/>
      <c r="AM29" s="22">
        <f t="shared" si="0"/>
        <v>0</v>
      </c>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6"/>
      <c r="BV29" s="26"/>
      <c r="BW29" s="26"/>
      <c r="BX29" s="26"/>
      <c r="BY29" s="26"/>
      <c r="BZ29" s="26"/>
      <c r="CA29" s="26"/>
      <c r="CB29" s="26"/>
      <c r="CC29" s="26"/>
      <c r="CD29" s="26"/>
      <c r="CE29" s="26"/>
      <c r="CF29" s="26"/>
      <c r="CG29" s="26"/>
      <c r="CH29" s="26"/>
      <c r="CI29" s="26"/>
      <c r="CJ29" s="26"/>
    </row>
    <row r="30" spans="2:88" ht="15" customHeight="1" x14ac:dyDescent="0.3">
      <c r="B30" s="230"/>
      <c r="C30" s="230"/>
      <c r="D30" s="230"/>
      <c r="F30" s="230"/>
      <c r="G30" s="230"/>
      <c r="H30" s="230"/>
      <c r="K30" s="234"/>
      <c r="L30" s="234"/>
      <c r="M30" s="234"/>
      <c r="N30" s="193" t="str">
        <f>IF($AQ$11=0,"Units?",IF($AQ$11=1,"ac",IF($AQ$11=2,"sq-ft","Error")))</f>
        <v>Units?</v>
      </c>
      <c r="O30" s="193"/>
      <c r="R30" s="234"/>
      <c r="S30" s="234"/>
      <c r="T30" s="234"/>
      <c r="U30" s="193" t="str">
        <f>IF($AQ$11=0,"Units?",IF($AQ$11=1,"ac",IF($AQ$11=2,"sq-ft","Error")))</f>
        <v>Units?</v>
      </c>
      <c r="V30" s="193"/>
      <c r="Y30" s="234"/>
      <c r="Z30" s="234"/>
      <c r="AA30" s="234"/>
      <c r="AB30" s="193" t="str">
        <f>IF($AQ$11=0,"Units?",IF($AQ$11=1,"ac",IF($AQ$11=2,"sq-ft","Error")))</f>
        <v>Units?</v>
      </c>
      <c r="AC30" s="193"/>
      <c r="AE30" s="62"/>
      <c r="AF30" s="28" t="s">
        <v>117</v>
      </c>
      <c r="AH30" s="62"/>
      <c r="AI30" s="28" t="s">
        <v>118</v>
      </c>
      <c r="AM30" s="96">
        <f>IF(ISBLANK(B30),1,2)</f>
        <v>1</v>
      </c>
      <c r="AN30" s="96">
        <f>IF(AND(ISBLANK(AE30),ISBLANK(AH30)),0,1)</f>
        <v>0</v>
      </c>
      <c r="AO30" s="96">
        <f>IF(AND(ISBLANK(AE30),LEN(AH30)&gt;0),2,1)</f>
        <v>1</v>
      </c>
      <c r="AP30" s="96">
        <f>IF(ISBLANK(AE30),1,IF(ISBLANK(AH30),2,3))</f>
        <v>1</v>
      </c>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6"/>
      <c r="BV30" s="26"/>
      <c r="BW30" s="26"/>
      <c r="BX30" s="26"/>
      <c r="BY30" s="26"/>
      <c r="BZ30" s="26"/>
      <c r="CA30" s="26"/>
      <c r="CB30" s="26"/>
      <c r="CC30" s="26"/>
      <c r="CD30" s="26"/>
      <c r="CE30" s="26"/>
      <c r="CF30" s="26"/>
      <c r="CG30" s="26"/>
      <c r="CH30" s="26"/>
      <c r="CI30" s="26"/>
      <c r="CJ30" s="26"/>
    </row>
    <row r="31" spans="2:88" ht="4.95" customHeight="1" x14ac:dyDescent="0.3">
      <c r="C31" s="4"/>
      <c r="F31" s="41"/>
      <c r="G31" s="41"/>
      <c r="K31" s="109"/>
      <c r="L31" s="109"/>
      <c r="M31" s="109"/>
      <c r="N31" s="12"/>
      <c r="O31" s="12"/>
      <c r="R31" s="109"/>
      <c r="S31" s="109"/>
      <c r="T31" s="109"/>
      <c r="U31" s="12"/>
      <c r="V31" s="12"/>
      <c r="Y31" s="109"/>
      <c r="Z31" s="109"/>
      <c r="AA31" s="109"/>
      <c r="AB31" s="12"/>
      <c r="AC31" s="12"/>
      <c r="AE31" s="110"/>
      <c r="AH31" s="110"/>
      <c r="AM31" s="22">
        <f t="shared" si="0"/>
        <v>0</v>
      </c>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6"/>
      <c r="BV31" s="26"/>
      <c r="BW31" s="26"/>
      <c r="BX31" s="26"/>
      <c r="BY31" s="26"/>
      <c r="BZ31" s="26"/>
      <c r="CA31" s="26"/>
      <c r="CB31" s="26"/>
      <c r="CC31" s="26"/>
      <c r="CD31" s="26"/>
      <c r="CE31" s="26"/>
      <c r="CF31" s="26"/>
      <c r="CG31" s="26"/>
      <c r="CH31" s="26"/>
      <c r="CI31" s="26"/>
      <c r="CJ31" s="26"/>
    </row>
    <row r="32" spans="2:88" ht="15" customHeight="1" x14ac:dyDescent="0.3">
      <c r="B32" s="230"/>
      <c r="C32" s="230"/>
      <c r="D32" s="230"/>
      <c r="F32" s="230"/>
      <c r="G32" s="230"/>
      <c r="H32" s="230"/>
      <c r="K32" s="234"/>
      <c r="L32" s="234"/>
      <c r="M32" s="234"/>
      <c r="N32" s="193" t="str">
        <f>IF($AQ$11=0,"Units?",IF($AQ$11=1,"ac",IF($AQ$11=2,"sq-ft","Error")))</f>
        <v>Units?</v>
      </c>
      <c r="O32" s="193"/>
      <c r="R32" s="234"/>
      <c r="S32" s="234"/>
      <c r="T32" s="234"/>
      <c r="U32" s="193" t="str">
        <f>IF($AQ$11=0,"Units?",IF($AQ$11=1,"ac",IF($AQ$11=2,"sq-ft","Error")))</f>
        <v>Units?</v>
      </c>
      <c r="V32" s="193"/>
      <c r="Y32" s="234"/>
      <c r="Z32" s="234"/>
      <c r="AA32" s="234"/>
      <c r="AB32" s="193" t="str">
        <f>IF($AQ$11=0,"Units?",IF($AQ$11=1,"ac",IF($AQ$11=2,"sq-ft","Error")))</f>
        <v>Units?</v>
      </c>
      <c r="AC32" s="193"/>
      <c r="AE32" s="62"/>
      <c r="AF32" s="28" t="s">
        <v>117</v>
      </c>
      <c r="AH32" s="62"/>
      <c r="AI32" s="28" t="s">
        <v>118</v>
      </c>
      <c r="AM32" s="96">
        <f>IF(ISBLANK(B32),1,2)</f>
        <v>1</v>
      </c>
      <c r="AN32" s="96">
        <f>IF(AND(ISBLANK(AE32),ISBLANK(AH32)),0,1)</f>
        <v>0</v>
      </c>
      <c r="AO32" s="96">
        <f>IF(AND(ISBLANK(AE32),LEN(AH32)&gt;0),2,1)</f>
        <v>1</v>
      </c>
      <c r="AP32" s="96">
        <f>IF(ISBLANK(AE32),1,IF(ISBLANK(AH32),2,3))</f>
        <v>1</v>
      </c>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6"/>
      <c r="BV32" s="26"/>
      <c r="BW32" s="26"/>
      <c r="BX32" s="26"/>
      <c r="BY32" s="26"/>
      <c r="BZ32" s="26"/>
      <c r="CA32" s="26"/>
      <c r="CB32" s="26"/>
      <c r="CC32" s="26"/>
      <c r="CD32" s="26"/>
      <c r="CE32" s="26"/>
      <c r="CF32" s="26"/>
      <c r="CG32" s="26"/>
      <c r="CH32" s="26"/>
      <c r="CI32" s="26"/>
      <c r="CJ32" s="26"/>
    </row>
    <row r="33" spans="2:88" ht="4.95" customHeight="1" x14ac:dyDescent="0.3">
      <c r="C33" s="4"/>
      <c r="F33" s="41"/>
      <c r="G33" s="41"/>
      <c r="K33" s="109"/>
      <c r="L33" s="109"/>
      <c r="M33" s="109"/>
      <c r="N33" s="12"/>
      <c r="O33" s="12"/>
      <c r="R33" s="109"/>
      <c r="S33" s="109"/>
      <c r="T33" s="109"/>
      <c r="U33" s="12"/>
      <c r="V33" s="12"/>
      <c r="Y33" s="109"/>
      <c r="Z33" s="109"/>
      <c r="AA33" s="109"/>
      <c r="AB33" s="12"/>
      <c r="AC33" s="12"/>
      <c r="AE33" s="110"/>
      <c r="AH33" s="110"/>
      <c r="AM33" s="22">
        <f t="shared" si="0"/>
        <v>0</v>
      </c>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6"/>
      <c r="BV33" s="26"/>
      <c r="BW33" s="26"/>
      <c r="BX33" s="26"/>
      <c r="BY33" s="26"/>
      <c r="BZ33" s="26"/>
      <c r="CA33" s="26"/>
      <c r="CB33" s="26"/>
      <c r="CC33" s="26"/>
      <c r="CD33" s="26"/>
      <c r="CE33" s="26"/>
      <c r="CF33" s="26"/>
      <c r="CG33" s="26"/>
      <c r="CH33" s="26"/>
      <c r="CI33" s="26"/>
      <c r="CJ33" s="26"/>
    </row>
    <row r="34" spans="2:88" ht="15" customHeight="1" x14ac:dyDescent="0.3">
      <c r="B34" s="230"/>
      <c r="C34" s="230"/>
      <c r="D34" s="230"/>
      <c r="F34" s="230"/>
      <c r="G34" s="230"/>
      <c r="H34" s="230"/>
      <c r="K34" s="234"/>
      <c r="L34" s="234"/>
      <c r="M34" s="234"/>
      <c r="N34" s="193" t="str">
        <f>IF($AQ$11=0,"Units?",IF($AQ$11=1,"ac",IF($AQ$11=2,"sq-ft","Error")))</f>
        <v>Units?</v>
      </c>
      <c r="O34" s="193"/>
      <c r="R34" s="234"/>
      <c r="S34" s="234"/>
      <c r="T34" s="234"/>
      <c r="U34" s="193" t="str">
        <f>IF($AQ$11=0,"Units?",IF($AQ$11=1,"ac",IF($AQ$11=2,"sq-ft","Error")))</f>
        <v>Units?</v>
      </c>
      <c r="V34" s="193"/>
      <c r="Y34" s="234"/>
      <c r="Z34" s="234"/>
      <c r="AA34" s="234"/>
      <c r="AB34" s="193" t="str">
        <f>IF($AQ$11=0,"Units?",IF($AQ$11=1,"ac",IF($AQ$11=2,"sq-ft","Error")))</f>
        <v>Units?</v>
      </c>
      <c r="AC34" s="193"/>
      <c r="AE34" s="62"/>
      <c r="AF34" s="28" t="s">
        <v>117</v>
      </c>
      <c r="AH34" s="62"/>
      <c r="AI34" s="28" t="s">
        <v>118</v>
      </c>
      <c r="AM34" s="96">
        <f>IF(ISBLANK(B34),1,2)</f>
        <v>1</v>
      </c>
      <c r="AN34" s="96">
        <f>IF(AND(ISBLANK(AE34),ISBLANK(AH34)),0,1)</f>
        <v>0</v>
      </c>
      <c r="AO34" s="96">
        <f>IF(AND(ISBLANK(AE34),LEN(AH34)&gt;0),2,1)</f>
        <v>1</v>
      </c>
      <c r="AP34" s="96">
        <f>IF(ISBLANK(AE34),1,IF(ISBLANK(AH34),2,3))</f>
        <v>1</v>
      </c>
      <c r="AR34" s="26"/>
      <c r="AS34" s="23"/>
      <c r="AT34" s="105"/>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6"/>
      <c r="BV34" s="26"/>
      <c r="BW34" s="26"/>
      <c r="BX34" s="26"/>
      <c r="BY34" s="26"/>
      <c r="BZ34" s="26"/>
      <c r="CA34" s="26"/>
      <c r="CB34" s="26"/>
      <c r="CC34" s="26"/>
      <c r="CD34" s="26"/>
      <c r="CE34" s="26"/>
      <c r="CF34" s="26"/>
      <c r="CG34" s="26"/>
      <c r="CH34" s="26"/>
      <c r="CI34" s="26"/>
      <c r="CJ34" s="26"/>
    </row>
    <row r="35" spans="2:88" ht="4.95" customHeight="1" x14ac:dyDescent="0.3">
      <c r="C35" s="4"/>
      <c r="F35" s="41"/>
      <c r="G35" s="41"/>
      <c r="K35" s="109"/>
      <c r="L35" s="109"/>
      <c r="M35" s="109"/>
      <c r="N35" s="12"/>
      <c r="O35" s="12"/>
      <c r="R35" s="109"/>
      <c r="S35" s="109"/>
      <c r="T35" s="109"/>
      <c r="U35" s="12"/>
      <c r="V35" s="12"/>
      <c r="Y35" s="109"/>
      <c r="Z35" s="109"/>
      <c r="AA35" s="109"/>
      <c r="AB35" s="12"/>
      <c r="AC35" s="12"/>
      <c r="AE35" s="110"/>
      <c r="AH35" s="110"/>
      <c r="AM35" s="22">
        <f t="shared" si="0"/>
        <v>0</v>
      </c>
      <c r="AR35" s="26"/>
      <c r="AS35" s="23"/>
      <c r="AT35" s="105"/>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6"/>
      <c r="BV35" s="26"/>
      <c r="BW35" s="26"/>
      <c r="BX35" s="26"/>
      <c r="BY35" s="26"/>
      <c r="BZ35" s="26"/>
      <c r="CA35" s="26"/>
      <c r="CB35" s="26"/>
      <c r="CC35" s="26"/>
      <c r="CD35" s="26"/>
      <c r="CE35" s="26"/>
      <c r="CF35" s="26"/>
      <c r="CG35" s="26"/>
      <c r="CH35" s="26"/>
      <c r="CI35" s="26"/>
      <c r="CJ35" s="26"/>
    </row>
    <row r="36" spans="2:88" ht="15" customHeight="1" x14ac:dyDescent="0.3">
      <c r="B36" s="230"/>
      <c r="C36" s="230"/>
      <c r="D36" s="230"/>
      <c r="F36" s="230"/>
      <c r="G36" s="230"/>
      <c r="H36" s="230"/>
      <c r="K36" s="234"/>
      <c r="L36" s="234"/>
      <c r="M36" s="234"/>
      <c r="N36" s="193" t="str">
        <f>IF($AQ$11=0,"Units?",IF($AQ$11=1,"ac",IF($AQ$11=2,"sq-ft","Error")))</f>
        <v>Units?</v>
      </c>
      <c r="O36" s="193"/>
      <c r="R36" s="234"/>
      <c r="S36" s="234"/>
      <c r="T36" s="234"/>
      <c r="U36" s="193" t="str">
        <f>IF($AQ$11=0,"Units?",IF($AQ$11=1,"ac",IF($AQ$11=2,"sq-ft","Error")))</f>
        <v>Units?</v>
      </c>
      <c r="V36" s="193"/>
      <c r="Y36" s="234"/>
      <c r="Z36" s="234"/>
      <c r="AA36" s="234"/>
      <c r="AB36" s="193" t="str">
        <f>IF($AQ$11=0,"Units?",IF($AQ$11=1,"ac",IF($AQ$11=2,"sq-ft","Error")))</f>
        <v>Units?</v>
      </c>
      <c r="AC36" s="193"/>
      <c r="AE36" s="62"/>
      <c r="AF36" s="28" t="s">
        <v>117</v>
      </c>
      <c r="AH36" s="62"/>
      <c r="AI36" s="28" t="s">
        <v>118</v>
      </c>
      <c r="AM36" s="96">
        <f>IF(ISBLANK(B36),1,2)</f>
        <v>1</v>
      </c>
      <c r="AN36" s="96">
        <f>IF(AND(ISBLANK(AE36),ISBLANK(AH36)),0,1)</f>
        <v>0</v>
      </c>
      <c r="AO36" s="96">
        <f>IF(AND(ISBLANK(AE36),LEN(AH36)&gt;0),2,1)</f>
        <v>1</v>
      </c>
      <c r="AP36" s="96">
        <f>IF(ISBLANK(AE36),1,IF(ISBLANK(AH36),2,3))</f>
        <v>1</v>
      </c>
      <c r="AR36" s="23"/>
      <c r="AS36" s="108"/>
      <c r="AT36" s="105"/>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6"/>
      <c r="BV36" s="26"/>
      <c r="BW36" s="26"/>
      <c r="BX36" s="26"/>
      <c r="BY36" s="26"/>
      <c r="BZ36" s="26"/>
      <c r="CA36" s="26"/>
      <c r="CB36" s="26"/>
      <c r="CC36" s="26"/>
      <c r="CD36" s="26"/>
      <c r="CE36" s="26"/>
      <c r="CF36" s="26"/>
      <c r="CG36" s="26"/>
      <c r="CH36" s="26"/>
      <c r="CI36" s="26"/>
      <c r="CJ36" s="26"/>
    </row>
    <row r="37" spans="2:88" ht="4.95" customHeight="1" x14ac:dyDescent="0.3">
      <c r="C37" s="4"/>
      <c r="F37" s="41"/>
      <c r="G37" s="41"/>
      <c r="K37" s="109"/>
      <c r="L37" s="109"/>
      <c r="M37" s="109"/>
      <c r="N37" s="12"/>
      <c r="O37" s="12"/>
      <c r="R37" s="109"/>
      <c r="S37" s="109"/>
      <c r="T37" s="109"/>
      <c r="U37" s="12"/>
      <c r="V37" s="12"/>
      <c r="Y37" s="109"/>
      <c r="Z37" s="109"/>
      <c r="AA37" s="109"/>
      <c r="AB37" s="12"/>
      <c r="AC37" s="12"/>
      <c r="AE37" s="110"/>
      <c r="AH37" s="110"/>
      <c r="AM37" s="22">
        <f t="shared" si="0"/>
        <v>0</v>
      </c>
      <c r="AR37" s="23"/>
      <c r="AS37" s="108"/>
      <c r="AT37" s="105"/>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6"/>
      <c r="BV37" s="26"/>
      <c r="BW37" s="26"/>
      <c r="BX37" s="26"/>
      <c r="BY37" s="26"/>
      <c r="BZ37" s="26"/>
      <c r="CA37" s="26"/>
      <c r="CB37" s="26"/>
      <c r="CC37" s="26"/>
      <c r="CD37" s="26"/>
      <c r="CE37" s="26"/>
      <c r="CF37" s="26"/>
      <c r="CG37" s="26"/>
      <c r="CH37" s="26"/>
      <c r="CI37" s="26"/>
      <c r="CJ37" s="26"/>
    </row>
    <row r="38" spans="2:88" ht="15" customHeight="1" x14ac:dyDescent="0.3">
      <c r="B38" s="230"/>
      <c r="C38" s="230"/>
      <c r="D38" s="230"/>
      <c r="F38" s="230"/>
      <c r="G38" s="230"/>
      <c r="H38" s="230"/>
      <c r="K38" s="234"/>
      <c r="L38" s="234"/>
      <c r="M38" s="234"/>
      <c r="N38" s="193" t="str">
        <f>IF($AQ$11=0,"Units?",IF($AQ$11=1,"ac",IF($AQ$11=2,"sq-ft","Error")))</f>
        <v>Units?</v>
      </c>
      <c r="O38" s="193"/>
      <c r="R38" s="234"/>
      <c r="S38" s="234"/>
      <c r="T38" s="234"/>
      <c r="U38" s="193" t="str">
        <f>IF($AQ$11=0,"Units?",IF($AQ$11=1,"ac",IF($AQ$11=2,"sq-ft","Error")))</f>
        <v>Units?</v>
      </c>
      <c r="V38" s="193"/>
      <c r="Y38" s="234"/>
      <c r="Z38" s="234"/>
      <c r="AA38" s="234"/>
      <c r="AB38" s="193" t="str">
        <f>IF($AQ$11=0,"Units?",IF($AQ$11=1,"ac",IF($AQ$11=2,"sq-ft","Error")))</f>
        <v>Units?</v>
      </c>
      <c r="AC38" s="193"/>
      <c r="AE38" s="62"/>
      <c r="AF38" s="28" t="s">
        <v>117</v>
      </c>
      <c r="AH38" s="62"/>
      <c r="AI38" s="28" t="s">
        <v>118</v>
      </c>
      <c r="AM38" s="96">
        <f>IF(ISBLANK(B38),1,2)</f>
        <v>1</v>
      </c>
      <c r="AN38" s="96">
        <f>IF(AND(ISBLANK(AE38),ISBLANK(AH38)),0,1)</f>
        <v>0</v>
      </c>
      <c r="AO38" s="96">
        <f>IF(AND(ISBLANK(AE38),LEN(AH38)&gt;0),2,1)</f>
        <v>1</v>
      </c>
      <c r="AP38" s="96">
        <f>IF(ISBLANK(AE38),1,IF(ISBLANK(AH38),2,3))</f>
        <v>1</v>
      </c>
      <c r="AR38" s="26"/>
      <c r="AS38" s="23"/>
      <c r="AT38" s="105"/>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6"/>
      <c r="BV38" s="26"/>
      <c r="BW38" s="26"/>
      <c r="BX38" s="26"/>
      <c r="BY38" s="26"/>
      <c r="BZ38" s="26"/>
      <c r="CA38" s="26"/>
      <c r="CB38" s="26"/>
      <c r="CC38" s="26"/>
      <c r="CD38" s="26"/>
      <c r="CE38" s="26"/>
      <c r="CF38" s="26"/>
      <c r="CG38" s="26"/>
      <c r="CH38" s="26"/>
      <c r="CI38" s="26"/>
      <c r="CJ38" s="26"/>
    </row>
    <row r="39" spans="2:88" ht="4.95" customHeight="1" x14ac:dyDescent="0.3">
      <c r="C39" s="4"/>
      <c r="F39" s="41"/>
      <c r="G39" s="41"/>
      <c r="K39" s="109"/>
      <c r="L39" s="109"/>
      <c r="M39" s="109"/>
      <c r="N39" s="12"/>
      <c r="O39" s="12"/>
      <c r="R39" s="109"/>
      <c r="S39" s="109"/>
      <c r="T39" s="109"/>
      <c r="U39" s="12"/>
      <c r="V39" s="12"/>
      <c r="Y39" s="109"/>
      <c r="Z39" s="109"/>
      <c r="AA39" s="109"/>
      <c r="AB39" s="12"/>
      <c r="AC39" s="12"/>
      <c r="AE39" s="110"/>
      <c r="AH39" s="110"/>
      <c r="AM39" s="22">
        <f t="shared" si="0"/>
        <v>0</v>
      </c>
      <c r="AR39" s="26"/>
      <c r="AS39" s="23"/>
      <c r="AT39" s="105"/>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6"/>
      <c r="BV39" s="26"/>
      <c r="BW39" s="26"/>
      <c r="BX39" s="26"/>
      <c r="BY39" s="26"/>
      <c r="BZ39" s="26"/>
      <c r="CA39" s="26"/>
      <c r="CB39" s="26"/>
      <c r="CC39" s="26"/>
      <c r="CD39" s="26"/>
      <c r="CE39" s="26"/>
      <c r="CF39" s="26"/>
      <c r="CG39" s="26"/>
      <c r="CH39" s="26"/>
      <c r="CI39" s="26"/>
      <c r="CJ39" s="26"/>
    </row>
    <row r="40" spans="2:88" ht="15" customHeight="1" x14ac:dyDescent="0.3">
      <c r="B40" s="230"/>
      <c r="C40" s="230"/>
      <c r="D40" s="230"/>
      <c r="F40" s="230"/>
      <c r="G40" s="230"/>
      <c r="H40" s="230"/>
      <c r="K40" s="234"/>
      <c r="L40" s="234"/>
      <c r="M40" s="234"/>
      <c r="N40" s="193" t="str">
        <f>IF($AQ$11=0,"Units?",IF($AQ$11=1,"ac",IF($AQ$11=2,"sq-ft","Error")))</f>
        <v>Units?</v>
      </c>
      <c r="O40" s="193"/>
      <c r="R40" s="234"/>
      <c r="S40" s="234"/>
      <c r="T40" s="234"/>
      <c r="U40" s="193" t="str">
        <f>IF($AQ$11=0,"Units?",IF($AQ$11=1,"ac",IF($AQ$11=2,"sq-ft","Error")))</f>
        <v>Units?</v>
      </c>
      <c r="V40" s="193"/>
      <c r="Y40" s="234"/>
      <c r="Z40" s="234"/>
      <c r="AA40" s="234"/>
      <c r="AB40" s="193" t="str">
        <f>IF($AQ$11=0,"Units?",IF($AQ$11=1,"ac",IF($AQ$11=2,"sq-ft","Error")))</f>
        <v>Units?</v>
      </c>
      <c r="AC40" s="193"/>
      <c r="AE40" s="62"/>
      <c r="AF40" s="28" t="s">
        <v>117</v>
      </c>
      <c r="AH40" s="62"/>
      <c r="AI40" s="28" t="s">
        <v>118</v>
      </c>
      <c r="AM40" s="96">
        <f>IF(ISBLANK(B40),1,2)</f>
        <v>1</v>
      </c>
      <c r="AN40" s="96">
        <f>IF(AND(ISBLANK(AE40),ISBLANK(AH40)),0,1)</f>
        <v>0</v>
      </c>
      <c r="AO40" s="96">
        <f>IF(AND(ISBLANK(AE40),LEN(AH40)&gt;0),2,1)</f>
        <v>1</v>
      </c>
      <c r="AP40" s="96">
        <f>IF(ISBLANK(AE40),1,IF(ISBLANK(AH40),2,3))</f>
        <v>1</v>
      </c>
      <c r="AR40" s="26"/>
      <c r="AS40" s="23"/>
      <c r="AT40" s="105"/>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6"/>
      <c r="BV40" s="26"/>
      <c r="BW40" s="26"/>
      <c r="BX40" s="26"/>
      <c r="BY40" s="26"/>
      <c r="BZ40" s="26"/>
      <c r="CA40" s="26"/>
      <c r="CB40" s="26"/>
      <c r="CC40" s="26"/>
      <c r="CD40" s="26"/>
      <c r="CE40" s="26"/>
      <c r="CF40" s="26"/>
      <c r="CG40" s="26"/>
      <c r="CH40" s="26"/>
      <c r="CI40" s="26"/>
      <c r="CJ40" s="26"/>
    </row>
    <row r="41" spans="2:88" ht="4.95" customHeight="1" x14ac:dyDescent="0.3">
      <c r="C41" s="4"/>
      <c r="F41" s="41"/>
      <c r="G41" s="41"/>
      <c r="K41" s="109"/>
      <c r="L41" s="109"/>
      <c r="M41" s="109"/>
      <c r="N41" s="12"/>
      <c r="O41" s="12"/>
      <c r="R41" s="109"/>
      <c r="S41" s="109"/>
      <c r="T41" s="109"/>
      <c r="U41" s="12"/>
      <c r="V41" s="12"/>
      <c r="Y41" s="109"/>
      <c r="Z41" s="109"/>
      <c r="AA41" s="109"/>
      <c r="AB41" s="12"/>
      <c r="AC41" s="12"/>
      <c r="AE41" s="110"/>
      <c r="AH41" s="110"/>
      <c r="AM41" s="22">
        <f t="shared" si="0"/>
        <v>0</v>
      </c>
      <c r="AR41" s="26"/>
      <c r="AS41" s="23"/>
      <c r="AT41" s="105"/>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6"/>
      <c r="BV41" s="26"/>
      <c r="BW41" s="26"/>
      <c r="BX41" s="26"/>
      <c r="BY41" s="26"/>
      <c r="BZ41" s="26"/>
      <c r="CA41" s="26"/>
      <c r="CB41" s="26"/>
      <c r="CC41" s="26"/>
      <c r="CD41" s="26"/>
      <c r="CE41" s="26"/>
      <c r="CF41" s="26"/>
      <c r="CG41" s="26"/>
      <c r="CH41" s="26"/>
      <c r="CI41" s="26"/>
      <c r="CJ41" s="26"/>
    </row>
    <row r="42" spans="2:88" ht="15" customHeight="1" x14ac:dyDescent="0.3">
      <c r="B42" s="230"/>
      <c r="C42" s="230"/>
      <c r="D42" s="230"/>
      <c r="F42" s="230"/>
      <c r="G42" s="230"/>
      <c r="H42" s="230"/>
      <c r="K42" s="234"/>
      <c r="L42" s="234"/>
      <c r="M42" s="234"/>
      <c r="N42" s="193" t="str">
        <f>IF($AQ$11=0,"Units?",IF($AQ$11=1,"ac",IF($AQ$11=2,"sq-ft","Error")))</f>
        <v>Units?</v>
      </c>
      <c r="O42" s="193"/>
      <c r="R42" s="234"/>
      <c r="S42" s="234"/>
      <c r="T42" s="234"/>
      <c r="U42" s="193" t="str">
        <f>IF($AQ$11=0,"Units?",IF($AQ$11=1,"ac",IF($AQ$11=2,"sq-ft","Error")))</f>
        <v>Units?</v>
      </c>
      <c r="V42" s="193"/>
      <c r="Y42" s="234"/>
      <c r="Z42" s="234"/>
      <c r="AA42" s="234"/>
      <c r="AB42" s="193" t="str">
        <f>IF($AQ$11=0,"Units?",IF($AQ$11=1,"ac",IF($AQ$11=2,"sq-ft","Error")))</f>
        <v>Units?</v>
      </c>
      <c r="AC42" s="193"/>
      <c r="AE42" s="62"/>
      <c r="AF42" s="28" t="s">
        <v>117</v>
      </c>
      <c r="AH42" s="62"/>
      <c r="AI42" s="28" t="s">
        <v>118</v>
      </c>
      <c r="AM42" s="96">
        <f>IF(ISBLANK(B42),1,2)</f>
        <v>1</v>
      </c>
      <c r="AN42" s="96">
        <f>IF(AND(ISBLANK(AE42),ISBLANK(AH42)),0,1)</f>
        <v>0</v>
      </c>
      <c r="AO42" s="96">
        <f>IF(AND(ISBLANK(AE42),LEN(AH42)&gt;0),2,1)</f>
        <v>1</v>
      </c>
      <c r="AP42" s="96">
        <f>IF(ISBLANK(AE42),1,IF(ISBLANK(AH42),2,3))</f>
        <v>1</v>
      </c>
      <c r="AR42" s="26"/>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6"/>
      <c r="BV42" s="26"/>
      <c r="BW42" s="26"/>
      <c r="BX42" s="26"/>
      <c r="BY42" s="26"/>
      <c r="BZ42" s="26"/>
      <c r="CA42" s="26"/>
      <c r="CB42" s="26"/>
      <c r="CC42" s="26"/>
      <c r="CD42" s="26"/>
      <c r="CE42" s="26"/>
      <c r="CF42" s="26"/>
      <c r="CG42" s="26"/>
      <c r="CH42" s="26"/>
      <c r="CI42" s="26"/>
      <c r="CJ42" s="26"/>
    </row>
    <row r="43" spans="2:88" ht="4.95" customHeight="1" x14ac:dyDescent="0.3">
      <c r="C43" s="4"/>
      <c r="F43" s="41"/>
      <c r="G43" s="41"/>
      <c r="K43" s="109"/>
      <c r="L43" s="109"/>
      <c r="M43" s="109"/>
      <c r="N43" s="12"/>
      <c r="O43" s="12"/>
      <c r="R43" s="109"/>
      <c r="S43" s="109"/>
      <c r="T43" s="109"/>
      <c r="U43" s="12"/>
      <c r="V43" s="12"/>
      <c r="Y43" s="109"/>
      <c r="Z43" s="109"/>
      <c r="AA43" s="109"/>
      <c r="AB43" s="12"/>
      <c r="AC43" s="12"/>
      <c r="AE43" s="110"/>
      <c r="AH43" s="110"/>
      <c r="AM43" s="22">
        <f t="shared" si="0"/>
        <v>0</v>
      </c>
      <c r="AR43" s="26"/>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6"/>
      <c r="BV43" s="26"/>
      <c r="BW43" s="26"/>
      <c r="BX43" s="26"/>
      <c r="BY43" s="26"/>
      <c r="BZ43" s="26"/>
      <c r="CA43" s="26"/>
      <c r="CB43" s="26"/>
      <c r="CC43" s="26"/>
      <c r="CD43" s="26"/>
      <c r="CE43" s="26"/>
      <c r="CF43" s="26"/>
      <c r="CG43" s="26"/>
      <c r="CH43" s="26"/>
      <c r="CI43" s="26"/>
      <c r="CJ43" s="26"/>
    </row>
    <row r="44" spans="2:88" ht="15" customHeight="1" x14ac:dyDescent="0.3">
      <c r="B44" s="230"/>
      <c r="C44" s="230"/>
      <c r="D44" s="230"/>
      <c r="F44" s="230"/>
      <c r="G44" s="230"/>
      <c r="H44" s="230"/>
      <c r="K44" s="234"/>
      <c r="L44" s="234"/>
      <c r="M44" s="234"/>
      <c r="N44" s="193" t="str">
        <f>IF($AQ$11=0,"Units?",IF($AQ$11=1,"ac",IF($AQ$11=2,"sq-ft","Error")))</f>
        <v>Units?</v>
      </c>
      <c r="O44" s="193"/>
      <c r="R44" s="234"/>
      <c r="S44" s="234"/>
      <c r="T44" s="234"/>
      <c r="U44" s="193" t="str">
        <f>IF($AQ$11=0,"Units?",IF($AQ$11=1,"ac",IF($AQ$11=2,"sq-ft","Error")))</f>
        <v>Units?</v>
      </c>
      <c r="V44" s="193"/>
      <c r="Y44" s="234"/>
      <c r="Z44" s="234"/>
      <c r="AA44" s="234"/>
      <c r="AB44" s="193" t="str">
        <f>IF($AQ$11=0,"Units?",IF($AQ$11=1,"ac",IF($AQ$11=2,"sq-ft","Error")))</f>
        <v>Units?</v>
      </c>
      <c r="AC44" s="193"/>
      <c r="AE44" s="62"/>
      <c r="AF44" s="28" t="s">
        <v>117</v>
      </c>
      <c r="AH44" s="62"/>
      <c r="AI44" s="28" t="s">
        <v>118</v>
      </c>
      <c r="AM44" s="96">
        <f>IF(ISBLANK(B44),1,2)</f>
        <v>1</v>
      </c>
      <c r="AN44" s="96">
        <f>IF(AND(ISBLANK(AE44),ISBLANK(AH44)),0,1)</f>
        <v>0</v>
      </c>
      <c r="AO44" s="96">
        <f>IF(AND(ISBLANK(AE44),LEN(AH44)&gt;0),2,1)</f>
        <v>1</v>
      </c>
      <c r="AP44" s="96">
        <f>IF(ISBLANK(AE44),1,IF(ISBLANK(AH44),2,3))</f>
        <v>1</v>
      </c>
      <c r="AR44" s="26"/>
      <c r="AS44" s="23"/>
      <c r="AT44" s="105"/>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6"/>
      <c r="BV44" s="26"/>
      <c r="BW44" s="26"/>
      <c r="BX44" s="26"/>
      <c r="BY44" s="26"/>
      <c r="BZ44" s="26"/>
      <c r="CA44" s="26"/>
      <c r="CB44" s="26"/>
      <c r="CC44" s="26"/>
      <c r="CD44" s="26"/>
      <c r="CE44" s="26"/>
      <c r="CF44" s="26"/>
      <c r="CG44" s="26"/>
      <c r="CH44" s="26"/>
      <c r="CI44" s="26"/>
      <c r="CJ44" s="26"/>
    </row>
    <row r="45" spans="2:88" ht="4.95" customHeight="1" x14ac:dyDescent="0.3">
      <c r="C45" s="4"/>
      <c r="F45" s="41"/>
      <c r="G45" s="41"/>
      <c r="K45" s="109"/>
      <c r="L45" s="109"/>
      <c r="M45" s="109"/>
      <c r="N45" s="12"/>
      <c r="O45" s="12"/>
      <c r="R45" s="109"/>
      <c r="S45" s="109"/>
      <c r="T45" s="109"/>
      <c r="U45" s="12"/>
      <c r="V45" s="12"/>
      <c r="Y45" s="109"/>
      <c r="Z45" s="109"/>
      <c r="AA45" s="109"/>
      <c r="AB45" s="12"/>
      <c r="AC45" s="12"/>
      <c r="AE45" s="110"/>
      <c r="AH45" s="110"/>
      <c r="AM45" s="22">
        <f t="shared" si="0"/>
        <v>0</v>
      </c>
      <c r="AR45" s="26"/>
      <c r="AS45" s="23"/>
      <c r="AT45" s="105"/>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6"/>
      <c r="BV45" s="26"/>
      <c r="BW45" s="26"/>
      <c r="BX45" s="26"/>
      <c r="BY45" s="26"/>
      <c r="BZ45" s="26"/>
      <c r="CA45" s="26"/>
      <c r="CB45" s="26"/>
      <c r="CC45" s="26"/>
      <c r="CD45" s="26"/>
      <c r="CE45" s="26"/>
      <c r="CF45" s="26"/>
      <c r="CG45" s="26"/>
      <c r="CH45" s="26"/>
      <c r="CI45" s="26"/>
      <c r="CJ45" s="26"/>
    </row>
    <row r="46" spans="2:88" ht="15" customHeight="1" x14ac:dyDescent="0.3">
      <c r="B46" s="230"/>
      <c r="C46" s="230"/>
      <c r="D46" s="230"/>
      <c r="F46" s="230"/>
      <c r="G46" s="230"/>
      <c r="H46" s="230"/>
      <c r="K46" s="234"/>
      <c r="L46" s="234"/>
      <c r="M46" s="234"/>
      <c r="N46" s="193" t="str">
        <f>IF($AQ$11=0,"Units?",IF($AQ$11=1,"ac",IF($AQ$11=2,"sq-ft","Error")))</f>
        <v>Units?</v>
      </c>
      <c r="O46" s="193"/>
      <c r="R46" s="234"/>
      <c r="S46" s="234"/>
      <c r="T46" s="234"/>
      <c r="U46" s="193" t="str">
        <f>IF($AQ$11=0,"Units?",IF($AQ$11=1,"ac",IF($AQ$11=2,"sq-ft","Error")))</f>
        <v>Units?</v>
      </c>
      <c r="V46" s="193"/>
      <c r="Y46" s="234"/>
      <c r="Z46" s="234"/>
      <c r="AA46" s="234"/>
      <c r="AB46" s="193" t="str">
        <f>IF($AQ$11=0,"Units?",IF($AQ$11=1,"ac",IF($AQ$11=2,"sq-ft","Error")))</f>
        <v>Units?</v>
      </c>
      <c r="AC46" s="193"/>
      <c r="AE46" s="62"/>
      <c r="AF46" s="28" t="s">
        <v>117</v>
      </c>
      <c r="AH46" s="62"/>
      <c r="AI46" s="28" t="s">
        <v>118</v>
      </c>
      <c r="AM46" s="96">
        <f>IF(ISBLANK(B46),1,2)</f>
        <v>1</v>
      </c>
      <c r="AN46" s="96">
        <f>IF(AND(ISBLANK(AE46),ISBLANK(AH46)),0,1)</f>
        <v>0</v>
      </c>
      <c r="AO46" s="96">
        <f>IF(AND(ISBLANK(AE46),LEN(AH46)&gt;0),2,1)</f>
        <v>1</v>
      </c>
      <c r="AP46" s="96">
        <f>IF(ISBLANK(AE46),1,IF(ISBLANK(AH46),2,3))</f>
        <v>1</v>
      </c>
      <c r="AR46" s="26"/>
      <c r="AS46" s="23"/>
      <c r="AT46" s="105"/>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6"/>
      <c r="BV46" s="26"/>
      <c r="BW46" s="26"/>
      <c r="BX46" s="26"/>
      <c r="BY46" s="26"/>
      <c r="BZ46" s="26"/>
      <c r="CA46" s="26"/>
      <c r="CB46" s="26"/>
      <c r="CC46" s="26"/>
      <c r="CD46" s="26"/>
      <c r="CE46" s="26"/>
      <c r="CF46" s="26"/>
      <c r="CG46" s="26"/>
      <c r="CH46" s="26"/>
      <c r="CI46" s="26"/>
      <c r="CJ46" s="26"/>
    </row>
    <row r="47" spans="2:88" ht="4.95" customHeight="1" x14ac:dyDescent="0.3">
      <c r="C47" s="4"/>
      <c r="F47" s="41"/>
      <c r="G47" s="41"/>
      <c r="K47" s="109"/>
      <c r="L47" s="109"/>
      <c r="M47" s="109"/>
      <c r="N47" s="12"/>
      <c r="O47" s="12"/>
      <c r="R47" s="109"/>
      <c r="S47" s="109"/>
      <c r="T47" s="109"/>
      <c r="U47" s="12"/>
      <c r="V47" s="12"/>
      <c r="Y47" s="109"/>
      <c r="Z47" s="109"/>
      <c r="AA47" s="109"/>
      <c r="AB47" s="12"/>
      <c r="AC47" s="12"/>
      <c r="AE47" s="110"/>
      <c r="AH47" s="110"/>
      <c r="AM47" s="22">
        <f t="shared" si="0"/>
        <v>0</v>
      </c>
      <c r="AR47" s="26"/>
      <c r="AS47" s="23"/>
      <c r="AT47" s="105"/>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6"/>
      <c r="BV47" s="26"/>
      <c r="BW47" s="26"/>
      <c r="BX47" s="26"/>
      <c r="BY47" s="26"/>
      <c r="BZ47" s="26"/>
      <c r="CA47" s="26"/>
      <c r="CB47" s="26"/>
      <c r="CC47" s="26"/>
      <c r="CD47" s="26"/>
      <c r="CE47" s="26"/>
      <c r="CF47" s="26"/>
      <c r="CG47" s="26"/>
      <c r="CH47" s="26"/>
      <c r="CI47" s="26"/>
      <c r="CJ47" s="26"/>
    </row>
    <row r="48" spans="2:88" ht="15" customHeight="1" x14ac:dyDescent="0.3">
      <c r="B48" s="230"/>
      <c r="C48" s="230"/>
      <c r="D48" s="230"/>
      <c r="F48" s="230"/>
      <c r="G48" s="230"/>
      <c r="H48" s="230"/>
      <c r="K48" s="234"/>
      <c r="L48" s="234"/>
      <c r="M48" s="234"/>
      <c r="N48" s="193" t="str">
        <f>IF($AQ$11=0,"Units?",IF($AQ$11=1,"ac",IF($AQ$11=2,"sq-ft","Error")))</f>
        <v>Units?</v>
      </c>
      <c r="O48" s="193"/>
      <c r="R48" s="234"/>
      <c r="S48" s="234"/>
      <c r="T48" s="234"/>
      <c r="U48" s="193" t="str">
        <f>IF($AQ$11=0,"Units?",IF($AQ$11=1,"ac",IF($AQ$11=2,"sq-ft","Error")))</f>
        <v>Units?</v>
      </c>
      <c r="V48" s="193"/>
      <c r="Y48" s="234"/>
      <c r="Z48" s="234"/>
      <c r="AA48" s="234"/>
      <c r="AB48" s="193" t="str">
        <f>IF($AQ$11=0,"Units?",IF($AQ$11=1,"ac",IF($AQ$11=2,"sq-ft","Error")))</f>
        <v>Units?</v>
      </c>
      <c r="AC48" s="193"/>
      <c r="AE48" s="62"/>
      <c r="AF48" s="28" t="s">
        <v>117</v>
      </c>
      <c r="AH48" s="62"/>
      <c r="AI48" s="28" t="s">
        <v>118</v>
      </c>
      <c r="AM48" s="96">
        <f>IF(ISBLANK(B48),1,2)</f>
        <v>1</v>
      </c>
      <c r="AN48" s="96">
        <f>IF(AND(ISBLANK(AE48),ISBLANK(AH48)),0,1)</f>
        <v>0</v>
      </c>
      <c r="AO48" s="96">
        <f>IF(AND(ISBLANK(AE48),LEN(AH48)&gt;0),2,1)</f>
        <v>1</v>
      </c>
      <c r="AP48" s="96">
        <f>IF(ISBLANK(AE48),1,IF(ISBLANK(AH48),2,3))</f>
        <v>1</v>
      </c>
      <c r="AR48" s="26"/>
      <c r="AS48" s="23"/>
      <c r="AT48" s="105"/>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6"/>
      <c r="BV48" s="26"/>
      <c r="BW48" s="26"/>
      <c r="BX48" s="26"/>
      <c r="BY48" s="26"/>
      <c r="BZ48" s="26"/>
      <c r="CA48" s="26"/>
      <c r="CB48" s="26"/>
      <c r="CC48" s="26"/>
      <c r="CD48" s="26"/>
      <c r="CE48" s="26"/>
      <c r="CF48" s="26"/>
      <c r="CG48" s="26"/>
      <c r="CH48" s="26"/>
      <c r="CI48" s="26"/>
      <c r="CJ48" s="26"/>
    </row>
    <row r="49" spans="2:88" ht="4.95" customHeight="1" x14ac:dyDescent="0.3">
      <c r="C49" s="4"/>
      <c r="F49" s="41"/>
      <c r="G49" s="41"/>
      <c r="K49" s="109"/>
      <c r="L49" s="109"/>
      <c r="M49" s="109"/>
      <c r="N49" s="12"/>
      <c r="O49" s="12"/>
      <c r="R49" s="109"/>
      <c r="S49" s="109"/>
      <c r="T49" s="109"/>
      <c r="U49" s="12"/>
      <c r="V49" s="12"/>
      <c r="Y49" s="109"/>
      <c r="Z49" s="109"/>
      <c r="AA49" s="109"/>
      <c r="AB49" s="12"/>
      <c r="AC49" s="12"/>
      <c r="AE49" s="110"/>
      <c r="AH49" s="110"/>
      <c r="AM49" s="22">
        <f t="shared" si="0"/>
        <v>0</v>
      </c>
      <c r="AR49" s="26"/>
      <c r="AS49" s="23"/>
      <c r="AT49" s="105"/>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6"/>
      <c r="BV49" s="26"/>
      <c r="BW49" s="26"/>
      <c r="BX49" s="26"/>
      <c r="BY49" s="26"/>
      <c r="BZ49" s="26"/>
      <c r="CA49" s="26"/>
      <c r="CB49" s="26"/>
      <c r="CC49" s="26"/>
      <c r="CD49" s="26"/>
      <c r="CE49" s="26"/>
      <c r="CF49" s="26"/>
      <c r="CG49" s="26"/>
      <c r="CH49" s="26"/>
      <c r="CI49" s="26"/>
      <c r="CJ49" s="26"/>
    </row>
    <row r="50" spans="2:88" ht="15" customHeight="1" x14ac:dyDescent="0.3">
      <c r="B50" s="230"/>
      <c r="C50" s="230"/>
      <c r="D50" s="230"/>
      <c r="F50" s="230"/>
      <c r="G50" s="230"/>
      <c r="H50" s="230"/>
      <c r="K50" s="234"/>
      <c r="L50" s="234"/>
      <c r="M50" s="234"/>
      <c r="N50" s="193" t="str">
        <f>IF($AQ$11=0,"Units?",IF($AQ$11=1,"ac",IF($AQ$11=2,"sq-ft","Error")))</f>
        <v>Units?</v>
      </c>
      <c r="O50" s="193"/>
      <c r="R50" s="234"/>
      <c r="S50" s="234"/>
      <c r="T50" s="234"/>
      <c r="U50" s="193" t="str">
        <f>IF($AQ$11=0,"Units?",IF($AQ$11=1,"ac",IF($AQ$11=2,"sq-ft","Error")))</f>
        <v>Units?</v>
      </c>
      <c r="V50" s="193"/>
      <c r="Y50" s="234"/>
      <c r="Z50" s="234"/>
      <c r="AA50" s="234"/>
      <c r="AB50" s="193" t="str">
        <f>IF($AQ$11=0,"Units?",IF($AQ$11=1,"ac",IF($AQ$11=2,"sq-ft","Error")))</f>
        <v>Units?</v>
      </c>
      <c r="AC50" s="193"/>
      <c r="AE50" s="62"/>
      <c r="AF50" s="28" t="s">
        <v>117</v>
      </c>
      <c r="AH50" s="62"/>
      <c r="AI50" s="28" t="s">
        <v>118</v>
      </c>
      <c r="AM50" s="96">
        <f>IF(ISBLANK(B50),1,2)</f>
        <v>1</v>
      </c>
      <c r="AN50" s="96">
        <f>IF(AND(ISBLANK(AE50),ISBLANK(AH50)),0,1)</f>
        <v>0</v>
      </c>
      <c r="AO50" s="96">
        <f>IF(AND(ISBLANK(AE50),LEN(AH50)&gt;0),2,1)</f>
        <v>1</v>
      </c>
      <c r="AP50" s="96">
        <f>IF(ISBLANK(AE50),1,IF(ISBLANK(AH50),2,3))</f>
        <v>1</v>
      </c>
      <c r="AR50" s="26"/>
      <c r="AS50" s="23"/>
      <c r="AT50" s="105"/>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6"/>
      <c r="BV50" s="26"/>
      <c r="BW50" s="26"/>
      <c r="BX50" s="26"/>
      <c r="BY50" s="26"/>
      <c r="BZ50" s="26"/>
      <c r="CA50" s="26"/>
      <c r="CB50" s="26"/>
      <c r="CC50" s="26"/>
      <c r="CD50" s="26"/>
      <c r="CE50" s="26"/>
      <c r="CF50" s="26"/>
      <c r="CG50" s="26"/>
      <c r="CH50" s="26"/>
      <c r="CI50" s="26"/>
      <c r="CJ50" s="26"/>
    </row>
    <row r="51" spans="2:88" ht="4.95" customHeight="1" x14ac:dyDescent="0.3">
      <c r="C51" s="4"/>
      <c r="F51" s="41"/>
      <c r="G51" s="41"/>
      <c r="K51" s="109"/>
      <c r="L51" s="109"/>
      <c r="M51" s="109"/>
      <c r="N51" s="12"/>
      <c r="O51" s="12"/>
      <c r="R51" s="109"/>
      <c r="S51" s="109"/>
      <c r="T51" s="109"/>
      <c r="U51" s="12"/>
      <c r="V51" s="12"/>
      <c r="Y51" s="109"/>
      <c r="Z51" s="109"/>
      <c r="AA51" s="109"/>
      <c r="AB51" s="12"/>
      <c r="AC51" s="12"/>
      <c r="AE51" s="110"/>
      <c r="AH51" s="110"/>
      <c r="AM51" s="22">
        <f t="shared" si="0"/>
        <v>0</v>
      </c>
      <c r="AR51" s="26"/>
      <c r="AS51" s="23"/>
      <c r="AT51" s="105"/>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6"/>
      <c r="BV51" s="26"/>
      <c r="BW51" s="26"/>
      <c r="BX51" s="26"/>
      <c r="BY51" s="26"/>
      <c r="BZ51" s="26"/>
      <c r="CA51" s="26"/>
      <c r="CB51" s="26"/>
      <c r="CC51" s="26"/>
      <c r="CD51" s="26"/>
      <c r="CE51" s="26"/>
      <c r="CF51" s="26"/>
      <c r="CG51" s="26"/>
      <c r="CH51" s="26"/>
      <c r="CI51" s="26"/>
      <c r="CJ51" s="26"/>
    </row>
    <row r="52" spans="2:88" ht="15" customHeight="1" x14ac:dyDescent="0.3">
      <c r="B52" s="230"/>
      <c r="C52" s="230"/>
      <c r="D52" s="230"/>
      <c r="F52" s="230"/>
      <c r="G52" s="230"/>
      <c r="H52" s="230"/>
      <c r="K52" s="234"/>
      <c r="L52" s="234"/>
      <c r="M52" s="234"/>
      <c r="N52" s="193" t="str">
        <f>IF($AQ$11=0,"Units?",IF($AQ$11=1,"ac",IF($AQ$11=2,"sq-ft","Error")))</f>
        <v>Units?</v>
      </c>
      <c r="O52" s="193"/>
      <c r="R52" s="234"/>
      <c r="S52" s="234"/>
      <c r="T52" s="234"/>
      <c r="U52" s="193" t="str">
        <f>IF($AQ$11=0,"Units?",IF($AQ$11=1,"ac",IF($AQ$11=2,"sq-ft","Error")))</f>
        <v>Units?</v>
      </c>
      <c r="V52" s="193"/>
      <c r="Y52" s="234"/>
      <c r="Z52" s="234"/>
      <c r="AA52" s="234"/>
      <c r="AB52" s="193" t="str">
        <f>IF($AQ$11=0,"Units?",IF($AQ$11=1,"ac",IF($AQ$11=2,"sq-ft","Error")))</f>
        <v>Units?</v>
      </c>
      <c r="AC52" s="193"/>
      <c r="AE52" s="62"/>
      <c r="AF52" s="28" t="s">
        <v>117</v>
      </c>
      <c r="AH52" s="62"/>
      <c r="AI52" s="28" t="s">
        <v>118</v>
      </c>
      <c r="AM52" s="96">
        <f>IF(ISBLANK(B52),1,2)</f>
        <v>1</v>
      </c>
      <c r="AN52" s="96">
        <f>IF(AND(ISBLANK(AE52),ISBLANK(AH52)),0,1)</f>
        <v>0</v>
      </c>
      <c r="AO52" s="96">
        <f>IF(AND(ISBLANK(AE52),LEN(AH52)&gt;0),2,1)</f>
        <v>1</v>
      </c>
      <c r="AP52" s="96">
        <f>IF(ISBLANK(AE52),1,IF(ISBLANK(AH52),2,3))</f>
        <v>1</v>
      </c>
      <c r="AR52" s="26"/>
      <c r="AS52" s="23"/>
      <c r="AT52" s="105"/>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6"/>
      <c r="BV52" s="26"/>
      <c r="BW52" s="26"/>
      <c r="BX52" s="26"/>
      <c r="BY52" s="26"/>
      <c r="BZ52" s="26"/>
      <c r="CA52" s="26"/>
      <c r="CB52" s="26"/>
      <c r="CC52" s="26"/>
      <c r="CD52" s="26"/>
      <c r="CE52" s="26"/>
      <c r="CF52" s="26"/>
      <c r="CG52" s="26"/>
      <c r="CH52" s="26"/>
      <c r="CI52" s="26"/>
      <c r="CJ52" s="26"/>
    </row>
    <row r="53" spans="2:88" ht="4.95" customHeight="1" x14ac:dyDescent="0.3">
      <c r="AR53" s="26"/>
      <c r="AS53" s="23"/>
      <c r="AT53" s="105"/>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6"/>
      <c r="BV53" s="26"/>
      <c r="BW53" s="26"/>
      <c r="BX53" s="26"/>
      <c r="BY53" s="26"/>
      <c r="BZ53" s="26"/>
      <c r="CA53" s="26"/>
      <c r="CB53" s="26"/>
      <c r="CC53" s="26"/>
      <c r="CD53" s="26"/>
      <c r="CE53" s="26"/>
      <c r="CF53" s="26"/>
      <c r="CG53" s="26"/>
      <c r="CH53" s="26"/>
      <c r="CI53" s="26"/>
      <c r="CJ53" s="26"/>
    </row>
    <row r="54" spans="2:88" ht="15" customHeight="1" x14ac:dyDescent="0.3">
      <c r="J54" s="2" t="s">
        <v>368</v>
      </c>
      <c r="K54" s="232">
        <f>SUM(K24:M52)</f>
        <v>0</v>
      </c>
      <c r="L54" s="232"/>
      <c r="M54" s="232"/>
      <c r="N54" s="193" t="str">
        <f>IF($AQ$11=0,"Units?",IF($AQ$11=1,"ac",IF($AQ$11=2,"sq-ft","Error")))</f>
        <v>Units?</v>
      </c>
      <c r="O54" s="193"/>
      <c r="Q54" s="2" t="s">
        <v>368</v>
      </c>
      <c r="R54" s="233">
        <f>IF(ISERR(SUM(R24:T52)),0,SUM(R24:T52))</f>
        <v>0</v>
      </c>
      <c r="S54" s="233"/>
      <c r="T54" s="233"/>
      <c r="U54" s="193" t="str">
        <f>IF($AQ$11=0,"Units?",IF($AQ$11=1,"ac",IF($AQ$11=2,"sq-ft","Error")))</f>
        <v>Units?</v>
      </c>
      <c r="V54" s="193"/>
      <c r="X54" s="2" t="s">
        <v>368</v>
      </c>
      <c r="Y54" s="233">
        <f>IF(ISERR(SUM(Y24:AA52)),0,SUM(Y24:AA52))</f>
        <v>0</v>
      </c>
      <c r="Z54" s="233"/>
      <c r="AA54" s="233"/>
      <c r="AB54" s="193" t="str">
        <f>IF($AQ$11=0,"Units?",IF($AQ$11=1,"ac",IF($AQ$11=2,"sq-ft","Error")))</f>
        <v>Units?</v>
      </c>
      <c r="AC54" s="193"/>
      <c r="AR54" s="26"/>
      <c r="AS54" s="23"/>
      <c r="AT54" s="105"/>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6"/>
      <c r="BV54" s="26"/>
      <c r="BW54" s="26"/>
      <c r="BX54" s="26"/>
      <c r="BY54" s="26"/>
      <c r="BZ54" s="26"/>
      <c r="CA54" s="26"/>
      <c r="CB54" s="26"/>
      <c r="CC54" s="26"/>
      <c r="CD54" s="26"/>
      <c r="CE54" s="26"/>
      <c r="CF54" s="26"/>
      <c r="CG54" s="26"/>
      <c r="CH54" s="26"/>
      <c r="CI54" s="26"/>
      <c r="CJ54" s="26"/>
    </row>
    <row r="55" spans="2:88" ht="15" customHeight="1" x14ac:dyDescent="0.3">
      <c r="R55" s="231">
        <f>IF(ISERR(R54/$K54),0,R54/$K54*100)</f>
        <v>0</v>
      </c>
      <c r="S55" s="231"/>
      <c r="T55" s="231"/>
      <c r="U55" s="28" t="s">
        <v>367</v>
      </c>
      <c r="Y55" s="231">
        <f>IF(ISERR(Y54/$K54),0,Y54/$K54*100)</f>
        <v>0</v>
      </c>
      <c r="Z55" s="231"/>
      <c r="AA55" s="231"/>
      <c r="AB55" s="28" t="s">
        <v>367</v>
      </c>
      <c r="AR55" s="26"/>
      <c r="AS55" s="23"/>
      <c r="AT55" s="105"/>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6"/>
      <c r="BV55" s="26"/>
      <c r="BW55" s="26"/>
      <c r="BX55" s="26"/>
      <c r="BY55" s="26"/>
      <c r="BZ55" s="26"/>
      <c r="CA55" s="26"/>
      <c r="CB55" s="26"/>
      <c r="CC55" s="26"/>
      <c r="CD55" s="26"/>
      <c r="CE55" s="26"/>
      <c r="CF55" s="26"/>
      <c r="CG55" s="26"/>
      <c r="CH55" s="26"/>
      <c r="CI55" s="26"/>
      <c r="CJ55" s="26"/>
    </row>
    <row r="56" spans="2:88" ht="15" customHeight="1" x14ac:dyDescent="0.3">
      <c r="AR56" s="26"/>
      <c r="AS56" s="23"/>
      <c r="AT56" s="105"/>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6"/>
      <c r="BV56" s="26"/>
      <c r="BW56" s="26"/>
      <c r="BX56" s="26"/>
      <c r="BY56" s="26"/>
      <c r="BZ56" s="26"/>
      <c r="CA56" s="26"/>
      <c r="CB56" s="26"/>
      <c r="CC56" s="26"/>
      <c r="CD56" s="26"/>
      <c r="CE56" s="26"/>
      <c r="CF56" s="26"/>
      <c r="CG56" s="26"/>
      <c r="CH56" s="26"/>
      <c r="CI56" s="26"/>
      <c r="CJ56" s="26"/>
    </row>
    <row r="57" spans="2:88" ht="15" customHeight="1" x14ac:dyDescent="0.3">
      <c r="AR57" s="26"/>
      <c r="AS57" s="23"/>
      <c r="AT57" s="105"/>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6"/>
      <c r="BV57" s="26"/>
      <c r="BW57" s="26"/>
      <c r="BX57" s="26"/>
      <c r="BY57" s="26"/>
      <c r="BZ57" s="26"/>
      <c r="CA57" s="26"/>
      <c r="CB57" s="26"/>
      <c r="CC57" s="26"/>
      <c r="CD57" s="26"/>
      <c r="CE57" s="26"/>
      <c r="CF57" s="26"/>
      <c r="CG57" s="26"/>
      <c r="CH57" s="26"/>
      <c r="CI57" s="26"/>
      <c r="CJ57" s="26"/>
    </row>
    <row r="58" spans="2:88" ht="15" customHeight="1" x14ac:dyDescent="0.3">
      <c r="AR58" s="26"/>
      <c r="AS58" s="23"/>
      <c r="AT58" s="105"/>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6"/>
      <c r="BV58" s="26"/>
      <c r="BW58" s="26"/>
      <c r="BX58" s="26"/>
      <c r="BY58" s="26"/>
      <c r="BZ58" s="26"/>
      <c r="CA58" s="26"/>
      <c r="CB58" s="26"/>
      <c r="CC58" s="26"/>
      <c r="CD58" s="26"/>
      <c r="CE58" s="26"/>
      <c r="CF58" s="26"/>
      <c r="CG58" s="26"/>
      <c r="CH58" s="26"/>
      <c r="CI58" s="26"/>
      <c r="CJ58" s="26"/>
    </row>
    <row r="59" spans="2:88" ht="15" customHeight="1" x14ac:dyDescent="0.3">
      <c r="AR59" s="26"/>
      <c r="AS59" s="23"/>
      <c r="AT59" s="105"/>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6"/>
      <c r="BV59" s="26"/>
      <c r="BW59" s="26"/>
      <c r="BX59" s="26"/>
      <c r="BY59" s="26"/>
      <c r="BZ59" s="26"/>
      <c r="CA59" s="26"/>
      <c r="CB59" s="26"/>
      <c r="CC59" s="26"/>
      <c r="CD59" s="26"/>
      <c r="CE59" s="26"/>
      <c r="CF59" s="26"/>
      <c r="CG59" s="26"/>
      <c r="CH59" s="26"/>
      <c r="CI59" s="26"/>
      <c r="CJ59" s="26"/>
    </row>
    <row r="60" spans="2:88" ht="15" customHeight="1" x14ac:dyDescent="0.3">
      <c r="AR60" s="26"/>
      <c r="AS60" s="23"/>
      <c r="AT60" s="105"/>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6"/>
      <c r="BV60" s="26"/>
      <c r="BW60" s="26"/>
      <c r="BX60" s="26"/>
      <c r="BY60" s="26"/>
      <c r="BZ60" s="26"/>
      <c r="CA60" s="26"/>
      <c r="CB60" s="26"/>
      <c r="CC60" s="26"/>
      <c r="CD60" s="26"/>
      <c r="CE60" s="26"/>
      <c r="CF60" s="26"/>
      <c r="CG60" s="26"/>
      <c r="CH60" s="26"/>
      <c r="CI60" s="26"/>
      <c r="CJ60" s="26"/>
    </row>
    <row r="61" spans="2:88" ht="15" customHeight="1" x14ac:dyDescent="0.3">
      <c r="AR61" s="26"/>
      <c r="AS61" s="23"/>
      <c r="AT61" s="105"/>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6"/>
      <c r="BV61" s="26"/>
      <c r="BW61" s="26"/>
      <c r="BX61" s="26"/>
      <c r="BY61" s="26"/>
      <c r="BZ61" s="26"/>
      <c r="CA61" s="26"/>
      <c r="CB61" s="26"/>
      <c r="CC61" s="26"/>
      <c r="CD61" s="26"/>
      <c r="CE61" s="26"/>
      <c r="CF61" s="26"/>
      <c r="CG61" s="26"/>
      <c r="CH61" s="26"/>
      <c r="CI61" s="26"/>
      <c r="CJ61" s="26"/>
    </row>
    <row r="62" spans="2:88" ht="15" customHeight="1" x14ac:dyDescent="0.3">
      <c r="B62" s="94"/>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R62" s="26"/>
      <c r="AS62" s="23"/>
      <c r="AT62" s="105"/>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6"/>
      <c r="BV62" s="26"/>
      <c r="BW62" s="26"/>
      <c r="BX62" s="26"/>
      <c r="BY62" s="26"/>
      <c r="BZ62" s="26"/>
      <c r="CA62" s="26"/>
      <c r="CB62" s="26"/>
      <c r="CC62" s="26"/>
      <c r="CD62" s="26"/>
      <c r="CE62" s="26"/>
      <c r="CF62" s="26"/>
      <c r="CG62" s="26"/>
      <c r="CH62" s="26"/>
      <c r="CI62" s="26"/>
      <c r="CJ62" s="26"/>
    </row>
    <row r="63" spans="2:88" ht="15" customHeight="1" x14ac:dyDescent="0.3">
      <c r="B63" s="198">
        <f>Tables!$F$13</f>
        <v>45931</v>
      </c>
      <c r="C63" s="198"/>
      <c r="D63" s="198"/>
      <c r="E63" s="198"/>
      <c r="F63" s="198"/>
      <c r="G63" s="198"/>
      <c r="H63" s="198"/>
      <c r="R63" s="188" t="s">
        <v>369</v>
      </c>
      <c r="S63" s="188"/>
      <c r="T63" s="188"/>
      <c r="U63" s="188"/>
      <c r="AJ63" s="86"/>
      <c r="AR63" s="26"/>
      <c r="AS63" s="23"/>
      <c r="AT63" s="105"/>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6"/>
      <c r="BV63" s="26"/>
      <c r="BW63" s="26"/>
      <c r="BX63" s="26"/>
      <c r="BY63" s="26"/>
      <c r="BZ63" s="26"/>
      <c r="CA63" s="26"/>
      <c r="CB63" s="26"/>
      <c r="CC63" s="26"/>
      <c r="CD63" s="26"/>
      <c r="CE63" s="26"/>
      <c r="CF63" s="26"/>
      <c r="CG63" s="26"/>
      <c r="CH63" s="26"/>
      <c r="CI63" s="26"/>
      <c r="CJ63" s="26"/>
    </row>
    <row r="64" spans="2:88" ht="15" customHeight="1" x14ac:dyDescent="0.3">
      <c r="C64" s="2" t="s">
        <v>128</v>
      </c>
      <c r="D64" s="199">
        <f>IF(ISBLANK($E$7),0,$E$7)</f>
        <v>0</v>
      </c>
      <c r="E64" s="199"/>
      <c r="F64" s="199"/>
      <c r="G64" s="199"/>
      <c r="H64" s="199"/>
      <c r="I64" s="199"/>
      <c r="J64" s="199"/>
      <c r="K64" s="199"/>
      <c r="L64" s="199"/>
      <c r="M64" s="199"/>
      <c r="N64" s="199"/>
      <c r="O64" s="199"/>
      <c r="P64" s="199"/>
      <c r="Q64" s="199"/>
      <c r="R64" s="199"/>
      <c r="S64" s="199"/>
      <c r="T64" s="199"/>
      <c r="U64" s="199"/>
      <c r="V64" s="199"/>
      <c r="W64" s="199"/>
      <c r="X64" s="199"/>
      <c r="Y64" s="199"/>
      <c r="AD64" s="2" t="s">
        <v>171</v>
      </c>
      <c r="AE64" s="197">
        <f>IF(ISBLANK($AE$7),0,$AE$7)</f>
        <v>0</v>
      </c>
      <c r="AF64" s="197"/>
      <c r="AG64" s="197"/>
      <c r="AH64" s="197"/>
      <c r="AI64" s="197"/>
      <c r="AJ64" s="197"/>
      <c r="AR64" s="26"/>
      <c r="AS64" s="23"/>
      <c r="AT64" s="105"/>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6"/>
      <c r="BV64" s="26"/>
      <c r="BW64" s="26"/>
      <c r="BX64" s="26"/>
      <c r="BY64" s="26"/>
      <c r="BZ64" s="26"/>
      <c r="CA64" s="26"/>
      <c r="CB64" s="26"/>
      <c r="CC64" s="26"/>
      <c r="CD64" s="26"/>
      <c r="CE64" s="26"/>
      <c r="CF64" s="26"/>
      <c r="CG64" s="26"/>
      <c r="CH64" s="26"/>
      <c r="CI64" s="26"/>
      <c r="CJ64" s="26"/>
    </row>
    <row r="65" spans="2:88" ht="15" customHeight="1" x14ac:dyDescent="0.3">
      <c r="B65" s="5"/>
      <c r="AR65" s="26"/>
      <c r="AS65" s="23"/>
      <c r="AT65" s="105"/>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6"/>
      <c r="BV65" s="26"/>
      <c r="BW65" s="26"/>
      <c r="BX65" s="26"/>
      <c r="BY65" s="26"/>
      <c r="BZ65" s="26"/>
      <c r="CA65" s="26"/>
      <c r="CB65" s="26"/>
      <c r="CC65" s="26"/>
      <c r="CD65" s="26"/>
      <c r="CE65" s="26"/>
      <c r="CF65" s="26"/>
      <c r="CG65" s="26"/>
      <c r="CH65" s="26"/>
      <c r="CI65" s="26"/>
      <c r="CJ65" s="26"/>
    </row>
    <row r="66" spans="2:88" ht="15" customHeight="1" x14ac:dyDescent="0.3">
      <c r="B66" s="5" t="s">
        <v>20</v>
      </c>
      <c r="AR66" s="26"/>
      <c r="AS66" s="23"/>
      <c r="AT66" s="105"/>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6"/>
      <c r="BV66" s="26"/>
      <c r="BW66" s="26"/>
      <c r="BX66" s="26"/>
      <c r="BY66" s="26"/>
      <c r="BZ66" s="26"/>
      <c r="CA66" s="26"/>
      <c r="CB66" s="26"/>
      <c r="CC66" s="26"/>
      <c r="CD66" s="26"/>
      <c r="CE66" s="26"/>
      <c r="CF66" s="26"/>
      <c r="CG66" s="26"/>
      <c r="CH66" s="26"/>
      <c r="CI66" s="26"/>
      <c r="CJ66" s="26"/>
    </row>
    <row r="67" spans="2:88" ht="15" customHeight="1" x14ac:dyDescent="0.3">
      <c r="B67" s="217"/>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9"/>
      <c r="AM67" s="96">
        <f>IF(SUM(AO15,AO16,AO18,AO20)&gt;0,2,1)</f>
        <v>1</v>
      </c>
      <c r="AR67" s="26"/>
      <c r="AS67" s="23"/>
      <c r="AT67" s="105"/>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6"/>
      <c r="BV67" s="26"/>
      <c r="BW67" s="26"/>
      <c r="BX67" s="26"/>
      <c r="BY67" s="26"/>
      <c r="BZ67" s="26"/>
      <c r="CA67" s="26"/>
      <c r="CB67" s="26"/>
      <c r="CC67" s="26"/>
      <c r="CD67" s="26"/>
      <c r="CE67" s="26"/>
      <c r="CF67" s="26"/>
      <c r="CG67" s="26"/>
      <c r="CH67" s="26"/>
      <c r="CI67" s="26"/>
      <c r="CJ67" s="26"/>
    </row>
    <row r="68" spans="2:88" ht="15" customHeight="1" x14ac:dyDescent="0.3">
      <c r="B68" s="220"/>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2"/>
      <c r="AR68" s="26"/>
      <c r="AS68" s="23"/>
      <c r="AT68" s="105"/>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6"/>
      <c r="BV68" s="26"/>
      <c r="BW68" s="26"/>
      <c r="BX68" s="26"/>
      <c r="BY68" s="26"/>
      <c r="BZ68" s="26"/>
      <c r="CA68" s="26"/>
      <c r="CB68" s="26"/>
      <c r="CC68" s="26"/>
      <c r="CD68" s="26"/>
      <c r="CE68" s="26"/>
      <c r="CF68" s="26"/>
      <c r="CG68" s="26"/>
      <c r="CH68" s="26"/>
      <c r="CI68" s="26"/>
      <c r="CJ68" s="26"/>
    </row>
    <row r="69" spans="2:88" ht="15" customHeight="1" x14ac:dyDescent="0.3">
      <c r="B69" s="220"/>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2"/>
      <c r="AR69" s="26"/>
      <c r="AS69" s="23"/>
      <c r="AT69" s="105"/>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6"/>
      <c r="BV69" s="26"/>
      <c r="BW69" s="26"/>
      <c r="BX69" s="26"/>
      <c r="BY69" s="26"/>
      <c r="BZ69" s="26"/>
      <c r="CA69" s="26"/>
      <c r="CB69" s="26"/>
      <c r="CC69" s="26"/>
      <c r="CD69" s="26"/>
      <c r="CE69" s="26"/>
      <c r="CF69" s="26"/>
      <c r="CG69" s="26"/>
      <c r="CH69" s="26"/>
      <c r="CI69" s="26"/>
      <c r="CJ69" s="26"/>
    </row>
    <row r="70" spans="2:88" ht="15" customHeight="1" x14ac:dyDescent="0.3">
      <c r="B70" s="220"/>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2"/>
      <c r="AR70" s="26"/>
      <c r="AS70" s="23"/>
      <c r="AT70" s="105"/>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6"/>
      <c r="BV70" s="26"/>
      <c r="BW70" s="26"/>
      <c r="BX70" s="26"/>
      <c r="BY70" s="26"/>
      <c r="BZ70" s="26"/>
      <c r="CA70" s="26"/>
      <c r="CB70" s="26"/>
      <c r="CC70" s="26"/>
      <c r="CD70" s="26"/>
      <c r="CE70" s="26"/>
      <c r="CF70" s="26"/>
      <c r="CG70" s="26"/>
      <c r="CH70" s="26"/>
      <c r="CI70" s="26"/>
      <c r="CJ70" s="26"/>
    </row>
    <row r="71" spans="2:88" ht="15" customHeight="1" x14ac:dyDescent="0.3">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2"/>
      <c r="AR71" s="26"/>
      <c r="AS71" s="23"/>
      <c r="AT71" s="105"/>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6"/>
      <c r="BV71" s="26"/>
      <c r="BW71" s="26"/>
      <c r="BX71" s="26"/>
      <c r="BY71" s="26"/>
      <c r="BZ71" s="26"/>
      <c r="CA71" s="26"/>
      <c r="CB71" s="26"/>
      <c r="CC71" s="26"/>
      <c r="CD71" s="26"/>
      <c r="CE71" s="26"/>
      <c r="CF71" s="26"/>
      <c r="CG71" s="26"/>
      <c r="CH71" s="26"/>
      <c r="CI71" s="26"/>
      <c r="CJ71" s="26"/>
    </row>
    <row r="72" spans="2:88" ht="15" customHeight="1" x14ac:dyDescent="0.3">
      <c r="B72" s="220"/>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2"/>
      <c r="AR72" s="26"/>
      <c r="AS72" s="23"/>
      <c r="AT72" s="105"/>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6"/>
      <c r="BV72" s="26"/>
      <c r="BW72" s="26"/>
      <c r="BX72" s="26"/>
      <c r="BY72" s="26"/>
      <c r="BZ72" s="26"/>
      <c r="CA72" s="26"/>
      <c r="CB72" s="26"/>
      <c r="CC72" s="26"/>
      <c r="CD72" s="26"/>
      <c r="CE72" s="26"/>
      <c r="CF72" s="26"/>
      <c r="CG72" s="26"/>
      <c r="CH72" s="26"/>
      <c r="CI72" s="26"/>
      <c r="CJ72" s="26"/>
    </row>
    <row r="73" spans="2:88" ht="15" customHeight="1" x14ac:dyDescent="0.3">
      <c r="B73" s="220"/>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2"/>
      <c r="AR73" s="26"/>
      <c r="AS73" s="23"/>
      <c r="AT73" s="105"/>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6"/>
      <c r="BV73" s="26"/>
      <c r="BW73" s="26"/>
      <c r="BX73" s="26"/>
      <c r="BY73" s="26"/>
      <c r="BZ73" s="26"/>
      <c r="CA73" s="26"/>
      <c r="CB73" s="26"/>
      <c r="CC73" s="26"/>
      <c r="CD73" s="26"/>
      <c r="CE73" s="26"/>
      <c r="CF73" s="26"/>
      <c r="CG73" s="26"/>
      <c r="CH73" s="26"/>
      <c r="CI73" s="26"/>
      <c r="CJ73" s="26"/>
    </row>
    <row r="74" spans="2:88" ht="15" customHeight="1" x14ac:dyDescent="0.3">
      <c r="B74" s="220"/>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2"/>
      <c r="AR74" s="26"/>
      <c r="AS74" s="23"/>
      <c r="AT74" s="105"/>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6"/>
      <c r="BV74" s="26"/>
      <c r="BW74" s="26"/>
      <c r="BX74" s="26"/>
      <c r="BY74" s="26"/>
      <c r="BZ74" s="26"/>
      <c r="CA74" s="26"/>
      <c r="CB74" s="26"/>
      <c r="CC74" s="26"/>
      <c r="CD74" s="26"/>
      <c r="CE74" s="26"/>
      <c r="CF74" s="26"/>
      <c r="CG74" s="26"/>
      <c r="CH74" s="26"/>
      <c r="CI74" s="26"/>
      <c r="CJ74" s="26"/>
    </row>
    <row r="75" spans="2:88" ht="15" customHeight="1" x14ac:dyDescent="0.3">
      <c r="B75" s="220"/>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2"/>
      <c r="AR75" s="26"/>
      <c r="AS75" s="23"/>
      <c r="AT75" s="105"/>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6"/>
      <c r="BV75" s="26"/>
      <c r="BW75" s="26"/>
      <c r="BX75" s="26"/>
      <c r="BY75" s="26"/>
      <c r="BZ75" s="26"/>
      <c r="CA75" s="26"/>
      <c r="CB75" s="26"/>
      <c r="CC75" s="26"/>
      <c r="CD75" s="26"/>
      <c r="CE75" s="26"/>
      <c r="CF75" s="26"/>
      <c r="CG75" s="26"/>
      <c r="CH75" s="26"/>
      <c r="CI75" s="26"/>
      <c r="CJ75" s="26"/>
    </row>
    <row r="76" spans="2:88" ht="15" customHeight="1" x14ac:dyDescent="0.3">
      <c r="B76" s="223"/>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5"/>
      <c r="AR76" s="26"/>
      <c r="AS76" s="23"/>
      <c r="AT76" s="105"/>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6"/>
      <c r="BV76" s="26"/>
      <c r="BW76" s="26"/>
      <c r="BX76" s="26"/>
      <c r="BY76" s="26"/>
      <c r="BZ76" s="26"/>
      <c r="CA76" s="26"/>
      <c r="CB76" s="26"/>
      <c r="CC76" s="26"/>
      <c r="CD76" s="26"/>
      <c r="CE76" s="26"/>
      <c r="CF76" s="26"/>
      <c r="CG76" s="26"/>
      <c r="CH76" s="26"/>
      <c r="CI76" s="26"/>
      <c r="CJ76" s="26"/>
    </row>
    <row r="77" spans="2:88" ht="15" customHeight="1" x14ac:dyDescent="0.3">
      <c r="B77" s="5"/>
      <c r="AR77" s="26"/>
      <c r="AS77" s="23"/>
      <c r="AT77" s="105"/>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6"/>
      <c r="BV77" s="26"/>
      <c r="BW77" s="26"/>
      <c r="BX77" s="26"/>
      <c r="BY77" s="26"/>
      <c r="BZ77" s="26"/>
      <c r="CA77" s="26"/>
      <c r="CB77" s="26"/>
      <c r="CC77" s="26"/>
      <c r="CD77" s="26"/>
      <c r="CE77" s="26"/>
      <c r="CF77" s="26"/>
      <c r="CG77" s="26"/>
      <c r="CH77" s="26"/>
      <c r="CI77" s="26"/>
      <c r="CJ77" s="26"/>
    </row>
    <row r="78" spans="2:88" ht="15" customHeight="1" x14ac:dyDescent="0.3">
      <c r="B78" s="1" t="s">
        <v>17</v>
      </c>
      <c r="C78" s="1"/>
      <c r="D78" s="1"/>
      <c r="AR78" s="26"/>
      <c r="AS78" s="26"/>
      <c r="AT78" s="10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row>
    <row r="79" spans="2:88" ht="4.95" customHeight="1" x14ac:dyDescent="0.3">
      <c r="B79" s="1"/>
      <c r="C79" s="1"/>
      <c r="D79" s="1"/>
      <c r="AR79" s="26"/>
      <c r="AS79" s="26"/>
      <c r="AT79" s="10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row>
    <row r="80" spans="2:88" ht="15" customHeight="1" x14ac:dyDescent="0.3">
      <c r="B80" s="86" t="s">
        <v>373</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R80" s="26"/>
      <c r="AS80" s="26"/>
      <c r="AT80" s="10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row>
    <row r="81" spans="2:88" ht="15" customHeight="1" x14ac:dyDescent="0.3">
      <c r="B81" s="86" t="s">
        <v>374</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R81" s="26"/>
      <c r="AS81" s="26"/>
      <c r="AT81" s="10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row>
    <row r="82" spans="2:88" ht="15" customHeight="1" x14ac:dyDescent="0.3">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R82" s="26"/>
      <c r="AS82" s="26"/>
      <c r="AT82" s="10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row>
    <row r="83" spans="2:88" ht="15" customHeight="1" x14ac:dyDescent="0.3">
      <c r="D83" s="2" t="s">
        <v>174</v>
      </c>
      <c r="E83" s="182"/>
      <c r="F83" s="182"/>
      <c r="G83" s="182"/>
      <c r="H83" s="182"/>
      <c r="I83" s="182"/>
      <c r="J83" s="182"/>
      <c r="K83" s="182"/>
      <c r="L83" s="182"/>
      <c r="M83" s="182"/>
      <c r="N83" s="182"/>
      <c r="O83" s="182"/>
      <c r="P83" s="182"/>
      <c r="Q83" s="182"/>
      <c r="R83" s="182"/>
      <c r="S83" s="182"/>
      <c r="T83" s="182"/>
      <c r="U83" s="182"/>
      <c r="V83" s="182"/>
      <c r="W83" s="182"/>
      <c r="X83" s="182"/>
      <c r="Y83" s="182"/>
      <c r="AB83" s="2" t="s">
        <v>316</v>
      </c>
      <c r="AC83" s="2"/>
      <c r="AD83" s="2"/>
      <c r="AE83" s="2"/>
      <c r="AR83" s="26"/>
      <c r="AS83" s="26"/>
      <c r="AT83" s="10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row>
    <row r="84" spans="2:88" ht="15" customHeight="1" x14ac:dyDescent="0.3">
      <c r="D84" s="2" t="s">
        <v>128</v>
      </c>
      <c r="E84" s="200"/>
      <c r="F84" s="200"/>
      <c r="G84" s="200"/>
      <c r="H84" s="200"/>
      <c r="I84" s="200"/>
      <c r="J84" s="200"/>
      <c r="K84" s="200"/>
      <c r="L84" s="200"/>
      <c r="M84" s="200"/>
      <c r="N84" s="200"/>
      <c r="O84" s="200"/>
      <c r="P84" s="200"/>
      <c r="Q84" s="200"/>
      <c r="R84" s="200"/>
      <c r="S84" s="200"/>
      <c r="T84" s="200"/>
      <c r="U84" s="200"/>
      <c r="V84" s="200"/>
      <c r="W84" s="200"/>
      <c r="X84" s="200"/>
      <c r="Y84" s="200"/>
      <c r="AR84" s="26"/>
      <c r="AS84" s="26"/>
      <c r="AT84" s="10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row>
    <row r="85" spans="2:88" ht="15" customHeight="1" x14ac:dyDescent="0.3">
      <c r="D85" s="2" t="s">
        <v>129</v>
      </c>
      <c r="E85" s="200"/>
      <c r="F85" s="200"/>
      <c r="G85" s="200"/>
      <c r="H85" s="200"/>
      <c r="I85" s="200"/>
      <c r="J85" s="200"/>
      <c r="K85" s="200"/>
      <c r="L85" s="200"/>
      <c r="M85" s="200"/>
      <c r="N85" s="200"/>
      <c r="O85" s="200"/>
      <c r="P85" s="200"/>
      <c r="Q85" s="200"/>
      <c r="R85" s="200"/>
      <c r="S85" s="200"/>
      <c r="T85" s="200"/>
      <c r="U85" s="200"/>
      <c r="V85" s="200"/>
      <c r="W85" s="200"/>
      <c r="X85" s="200"/>
      <c r="Y85" s="200"/>
      <c r="AR85" s="26"/>
      <c r="AS85" s="26"/>
      <c r="AT85" s="10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row>
    <row r="86" spans="2:88" ht="15" customHeight="1" x14ac:dyDescent="0.3">
      <c r="D86" s="2" t="s">
        <v>314</v>
      </c>
      <c r="E86" s="200"/>
      <c r="F86" s="200"/>
      <c r="G86" s="200"/>
      <c r="H86" s="200"/>
      <c r="I86" s="200"/>
      <c r="J86" s="200"/>
      <c r="K86" s="200"/>
      <c r="L86" s="68"/>
      <c r="M86" s="68"/>
      <c r="N86" s="103" t="s">
        <v>132</v>
      </c>
      <c r="O86" s="200"/>
      <c r="P86" s="200"/>
      <c r="Q86" s="200"/>
      <c r="R86" s="200"/>
      <c r="S86" s="68"/>
      <c r="T86" s="68"/>
      <c r="U86" s="68"/>
      <c r="V86" s="103" t="s">
        <v>133</v>
      </c>
      <c r="W86" s="201"/>
      <c r="X86" s="201"/>
      <c r="Y86" s="201"/>
      <c r="AR86" s="26"/>
      <c r="AS86" s="26"/>
      <c r="AT86" s="10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row>
    <row r="87" spans="2:88" ht="15" customHeight="1" x14ac:dyDescent="0.3">
      <c r="C87" s="69"/>
      <c r="D87" s="2" t="s">
        <v>130</v>
      </c>
      <c r="E87" s="202"/>
      <c r="F87" s="202"/>
      <c r="G87" s="202"/>
      <c r="H87" s="202"/>
      <c r="I87" s="202"/>
      <c r="J87" s="202"/>
      <c r="K87" s="202"/>
      <c r="L87" s="202"/>
      <c r="M87" s="202"/>
      <c r="N87" s="202"/>
      <c r="O87" s="202"/>
      <c r="P87" s="202"/>
      <c r="Q87" s="202"/>
      <c r="R87" s="202"/>
      <c r="S87" s="202"/>
      <c r="T87" s="202"/>
      <c r="U87" s="202"/>
      <c r="V87" s="202"/>
      <c r="W87" s="202"/>
      <c r="X87" s="202"/>
      <c r="Y87" s="202"/>
      <c r="AR87" s="26"/>
      <c r="AS87" s="26"/>
      <c r="AT87" s="10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row>
    <row r="88" spans="2:88" ht="15" customHeight="1" x14ac:dyDescent="0.3">
      <c r="D88" s="2" t="s">
        <v>134</v>
      </c>
      <c r="E88" s="216"/>
      <c r="F88" s="216"/>
      <c r="G88" s="216"/>
      <c r="H88" s="216"/>
      <c r="I88" s="216"/>
      <c r="U88" s="60"/>
      <c r="V88" s="60"/>
      <c r="W88" s="60"/>
      <c r="AR88" s="26"/>
      <c r="AS88" s="26"/>
      <c r="AT88" s="10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row>
    <row r="89" spans="2:88" ht="15" customHeight="1" x14ac:dyDescent="0.3">
      <c r="D89" s="2"/>
      <c r="E89" s="68"/>
      <c r="F89" s="68"/>
      <c r="G89" s="68"/>
      <c r="H89" s="68"/>
      <c r="I89" s="68"/>
      <c r="U89" s="60"/>
      <c r="V89" s="60"/>
      <c r="W89" s="60"/>
      <c r="AR89" s="26"/>
      <c r="AS89" s="26"/>
      <c r="AT89" s="10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row>
    <row r="90" spans="2:88" ht="15" customHeight="1" x14ac:dyDescent="0.3">
      <c r="D90" s="2" t="s">
        <v>175</v>
      </c>
      <c r="E90" s="88"/>
      <c r="F90" s="88"/>
      <c r="G90" s="88"/>
      <c r="H90" s="88"/>
      <c r="I90" s="88"/>
      <c r="J90" s="88"/>
      <c r="K90" s="88"/>
      <c r="L90" s="88"/>
      <c r="M90" s="88"/>
      <c r="N90" s="88"/>
      <c r="O90" s="88"/>
      <c r="P90" s="88"/>
      <c r="Q90" s="88"/>
      <c r="R90" s="88"/>
      <c r="S90" s="88"/>
      <c r="T90" s="88"/>
      <c r="U90" s="60"/>
      <c r="V90" s="60"/>
      <c r="W90" s="60"/>
      <c r="AB90" s="2" t="s">
        <v>171</v>
      </c>
      <c r="AC90" s="195"/>
      <c r="AD90" s="195"/>
      <c r="AE90" s="195"/>
      <c r="AF90" s="195"/>
      <c r="AG90" s="195"/>
      <c r="AR90" s="26"/>
      <c r="AS90" s="26"/>
      <c r="AT90" s="10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row>
    <row r="91" spans="2:88" ht="15" customHeight="1" x14ac:dyDescent="0.3">
      <c r="AR91" s="26"/>
      <c r="AS91" s="26"/>
      <c r="AT91" s="10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row>
    <row r="92" spans="2:88" ht="15" customHeight="1" x14ac:dyDescent="0.3">
      <c r="AR92" s="26"/>
      <c r="AS92" s="26"/>
      <c r="AT92" s="10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row>
    <row r="93" spans="2:88" ht="15" customHeight="1" x14ac:dyDescent="0.3">
      <c r="AR93" s="26"/>
      <c r="AS93" s="26"/>
      <c r="AT93" s="10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row>
    <row r="94" spans="2:88" ht="15" customHeight="1" x14ac:dyDescent="0.3">
      <c r="AR94" s="26"/>
      <c r="AS94" s="26"/>
      <c r="AT94" s="10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row>
    <row r="95" spans="2:88" ht="15" customHeight="1" x14ac:dyDescent="0.3">
      <c r="AR95" s="26"/>
      <c r="AS95" s="26"/>
      <c r="AT95" s="10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row>
    <row r="96" spans="2:88" ht="15" customHeight="1" x14ac:dyDescent="0.3">
      <c r="AR96" s="26"/>
      <c r="AS96" s="26"/>
      <c r="AT96" s="10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row>
    <row r="97" spans="2:88" ht="15" customHeight="1" x14ac:dyDescent="0.3">
      <c r="AR97" s="26"/>
      <c r="AS97" s="26"/>
      <c r="AT97" s="10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row>
    <row r="98" spans="2:88" ht="15" customHeight="1" x14ac:dyDescent="0.3">
      <c r="AR98" s="26"/>
      <c r="AS98" s="26"/>
      <c r="AT98" s="10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row>
    <row r="99" spans="2:88" ht="15" customHeight="1" x14ac:dyDescent="0.3">
      <c r="AR99" s="26"/>
      <c r="AS99" s="26"/>
      <c r="AT99" s="10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row>
    <row r="100" spans="2:88" ht="15" customHeight="1" x14ac:dyDescent="0.3">
      <c r="AR100" s="26"/>
      <c r="AS100" s="26"/>
      <c r="AT100" s="10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row>
    <row r="101" spans="2:88" ht="15" customHeight="1" x14ac:dyDescent="0.3">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row>
    <row r="102" spans="2:88" ht="15" customHeight="1" x14ac:dyDescent="0.3">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row>
    <row r="103" spans="2:88" ht="15" customHeight="1" x14ac:dyDescent="0.3">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row>
    <row r="104" spans="2:88" ht="15" customHeight="1" x14ac:dyDescent="0.3">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row>
    <row r="105" spans="2:88" ht="15" customHeight="1" x14ac:dyDescent="0.3">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row>
    <row r="106" spans="2:88" ht="15" customHeight="1" x14ac:dyDescent="0.3">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2:88" ht="15" customHeight="1" x14ac:dyDescent="0.3">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row>
    <row r="108" spans="2:88" ht="15" customHeight="1" x14ac:dyDescent="0.3">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row>
    <row r="109" spans="2:88" ht="15" customHeight="1" x14ac:dyDescent="0.3">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row>
    <row r="110" spans="2:88" ht="15" customHeight="1" x14ac:dyDescent="0.3">
      <c r="B110" s="198">
        <f>Tables!$F$13</f>
        <v>45931</v>
      </c>
      <c r="C110" s="198"/>
      <c r="D110" s="198"/>
      <c r="E110" s="198"/>
      <c r="F110" s="198"/>
      <c r="G110" s="198"/>
      <c r="H110" s="198"/>
      <c r="R110" s="188" t="s">
        <v>370</v>
      </c>
      <c r="S110" s="188"/>
      <c r="T110" s="188"/>
      <c r="U110" s="188"/>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row>
    <row r="111" spans="2:88" ht="15" customHeight="1" x14ac:dyDescent="0.3">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row>
    <row r="112" spans="2:88" ht="15" customHeight="1" x14ac:dyDescent="0.3">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44:88" ht="15" customHeight="1" x14ac:dyDescent="0.3">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sheetData>
  <sheetProtection algorithmName="SHA-512" hashValue="nKUv/ZuapQiAnVZBL6qkmPxDHE4OIWnfG+M39bxXAL5/FWztumPejujKfmRh62nY+8Qt9/JAKwWDV9lUaA/S3Q==" saltValue="JJdl2xv3koycQyJgA7Y5Mw==" spinCount="100000" sheet="1" objects="1" scenarios="1" selectLockedCells="1"/>
  <mergeCells count="161">
    <mergeCell ref="BD1:BZ4"/>
    <mergeCell ref="AR6:BF7"/>
    <mergeCell ref="E7:Y7"/>
    <mergeCell ref="AE7:AJ7"/>
    <mergeCell ref="E8:Y8"/>
    <mergeCell ref="T9:Y9"/>
    <mergeCell ref="U24:V24"/>
    <mergeCell ref="Y24:AA24"/>
    <mergeCell ref="T10:Y10"/>
    <mergeCell ref="N1:AK4"/>
    <mergeCell ref="AH12:AI12"/>
    <mergeCell ref="AH14:AI14"/>
    <mergeCell ref="AE10:AJ10"/>
    <mergeCell ref="B23:D23"/>
    <mergeCell ref="F23:H23"/>
    <mergeCell ref="K23:M23"/>
    <mergeCell ref="R23:T23"/>
    <mergeCell ref="Y23:AA23"/>
    <mergeCell ref="K22:M22"/>
    <mergeCell ref="AB24:AC24"/>
    <mergeCell ref="F24:H24"/>
    <mergeCell ref="K24:M24"/>
    <mergeCell ref="N24:O24"/>
    <mergeCell ref="R24:T24"/>
    <mergeCell ref="B24:D24"/>
    <mergeCell ref="AB26:AC26"/>
    <mergeCell ref="F30:H30"/>
    <mergeCell ref="K30:M30"/>
    <mergeCell ref="N30:O30"/>
    <mergeCell ref="R30:T30"/>
    <mergeCell ref="U30:V30"/>
    <mergeCell ref="Y30:AA30"/>
    <mergeCell ref="F28:H28"/>
    <mergeCell ref="K28:M28"/>
    <mergeCell ref="N28:O28"/>
    <mergeCell ref="R28:T28"/>
    <mergeCell ref="U28:V28"/>
    <mergeCell ref="Y28:AA28"/>
    <mergeCell ref="F26:H26"/>
    <mergeCell ref="K26:M26"/>
    <mergeCell ref="N26:O26"/>
    <mergeCell ref="R26:T26"/>
    <mergeCell ref="U26:V26"/>
    <mergeCell ref="Y26:AA26"/>
    <mergeCell ref="F34:H34"/>
    <mergeCell ref="K34:M34"/>
    <mergeCell ref="N34:O34"/>
    <mergeCell ref="R34:T34"/>
    <mergeCell ref="U34:V34"/>
    <mergeCell ref="Y34:AA34"/>
    <mergeCell ref="F32:H32"/>
    <mergeCell ref="K32:M32"/>
    <mergeCell ref="N32:O32"/>
    <mergeCell ref="R32:T32"/>
    <mergeCell ref="U32:V32"/>
    <mergeCell ref="Y32:AA32"/>
    <mergeCell ref="F38:H38"/>
    <mergeCell ref="K38:M38"/>
    <mergeCell ref="N38:O38"/>
    <mergeCell ref="R38:T38"/>
    <mergeCell ref="U38:V38"/>
    <mergeCell ref="Y38:AA38"/>
    <mergeCell ref="F36:H36"/>
    <mergeCell ref="K36:M36"/>
    <mergeCell ref="N36:O36"/>
    <mergeCell ref="R36:T36"/>
    <mergeCell ref="U36:V36"/>
    <mergeCell ref="Y36:AA36"/>
    <mergeCell ref="F42:H42"/>
    <mergeCell ref="K42:M42"/>
    <mergeCell ref="N42:O42"/>
    <mergeCell ref="R42:T42"/>
    <mergeCell ref="U42:V42"/>
    <mergeCell ref="Y42:AA42"/>
    <mergeCell ref="F40:H40"/>
    <mergeCell ref="K40:M40"/>
    <mergeCell ref="N40:O40"/>
    <mergeCell ref="R40:T40"/>
    <mergeCell ref="U40:V40"/>
    <mergeCell ref="Y40:AA40"/>
    <mergeCell ref="F46:H46"/>
    <mergeCell ref="K46:M46"/>
    <mergeCell ref="N46:O46"/>
    <mergeCell ref="R46:T46"/>
    <mergeCell ref="U46:V46"/>
    <mergeCell ref="Y46:AA46"/>
    <mergeCell ref="F44:H44"/>
    <mergeCell ref="K44:M44"/>
    <mergeCell ref="N44:O44"/>
    <mergeCell ref="R44:T44"/>
    <mergeCell ref="U44:V44"/>
    <mergeCell ref="Y44:AA44"/>
    <mergeCell ref="F50:H50"/>
    <mergeCell ref="K50:M50"/>
    <mergeCell ref="N50:O50"/>
    <mergeCell ref="R50:T50"/>
    <mergeCell ref="U50:V50"/>
    <mergeCell ref="Y50:AA50"/>
    <mergeCell ref="F48:H48"/>
    <mergeCell ref="K48:M48"/>
    <mergeCell ref="N48:O48"/>
    <mergeCell ref="R48:T48"/>
    <mergeCell ref="U48:V48"/>
    <mergeCell ref="Y48:AA48"/>
    <mergeCell ref="K54:M54"/>
    <mergeCell ref="N54:O54"/>
    <mergeCell ref="R54:T54"/>
    <mergeCell ref="U54:V54"/>
    <mergeCell ref="Y54:AA54"/>
    <mergeCell ref="B63:H63"/>
    <mergeCell ref="R63:U63"/>
    <mergeCell ref="F52:H52"/>
    <mergeCell ref="K52:M52"/>
    <mergeCell ref="N52:O52"/>
    <mergeCell ref="R52:T52"/>
    <mergeCell ref="U52:V52"/>
    <mergeCell ref="Y52:AA52"/>
    <mergeCell ref="B110:H110"/>
    <mergeCell ref="R110:U110"/>
    <mergeCell ref="E86:K86"/>
    <mergeCell ref="O86:R86"/>
    <mergeCell ref="W86:Y86"/>
    <mergeCell ref="E87:Y87"/>
    <mergeCell ref="E88:I88"/>
    <mergeCell ref="AC90:AG90"/>
    <mergeCell ref="D64:Y64"/>
    <mergeCell ref="AE64:AJ64"/>
    <mergeCell ref="B67:AJ76"/>
    <mergeCell ref="E83:Y83"/>
    <mergeCell ref="E84:Y84"/>
    <mergeCell ref="E85:Y85"/>
    <mergeCell ref="AB46:AC46"/>
    <mergeCell ref="AB48:AC48"/>
    <mergeCell ref="AB50:AC50"/>
    <mergeCell ref="AB52:AC52"/>
    <mergeCell ref="AB54:AC54"/>
    <mergeCell ref="R55:T55"/>
    <mergeCell ref="Y55:AA55"/>
    <mergeCell ref="AB28:AC28"/>
    <mergeCell ref="AB30:AC30"/>
    <mergeCell ref="AB32:AC32"/>
    <mergeCell ref="AB34:AC34"/>
    <mergeCell ref="AB36:AC36"/>
    <mergeCell ref="AB38:AC38"/>
    <mergeCell ref="AB40:AC40"/>
    <mergeCell ref="AB42:AC42"/>
    <mergeCell ref="AB44:AC44"/>
    <mergeCell ref="B44:D44"/>
    <mergeCell ref="B46:D46"/>
    <mergeCell ref="B48:D48"/>
    <mergeCell ref="B50:D50"/>
    <mergeCell ref="B52:D52"/>
    <mergeCell ref="B26:D26"/>
    <mergeCell ref="B28:D28"/>
    <mergeCell ref="B30:D30"/>
    <mergeCell ref="B32:D32"/>
    <mergeCell ref="B34:D34"/>
    <mergeCell ref="B36:D36"/>
    <mergeCell ref="B38:D38"/>
    <mergeCell ref="B40:D40"/>
    <mergeCell ref="B42:D42"/>
  </mergeCells>
  <conditionalFormatting sqref="B16">
    <cfRule type="expression" dxfId="195" priority="56">
      <formula>$AN$16=2</formula>
    </cfRule>
    <cfRule type="expression" dxfId="194" priority="55">
      <formula>$AM$16=1</formula>
    </cfRule>
    <cfRule type="expression" dxfId="193" priority="54">
      <formula>$AP$16=3</formula>
    </cfRule>
  </conditionalFormatting>
  <conditionalFormatting sqref="B18">
    <cfRule type="expression" dxfId="192" priority="58">
      <formula>$AM$18=1</formula>
    </cfRule>
    <cfRule type="expression" dxfId="191" priority="57">
      <formula>$AP$18=3</formula>
    </cfRule>
    <cfRule type="expression" dxfId="190" priority="59">
      <formula>$AN$18=2</formula>
    </cfRule>
  </conditionalFormatting>
  <conditionalFormatting sqref="B20">
    <cfRule type="expression" dxfId="189" priority="62">
      <formula>$AN$20=2</formula>
    </cfRule>
    <cfRule type="expression" dxfId="188" priority="61">
      <formula>$AM$20=1</formula>
    </cfRule>
    <cfRule type="expression" dxfId="187" priority="60">
      <formula>$AP$20=3</formula>
    </cfRule>
  </conditionalFormatting>
  <conditionalFormatting sqref="B67:AJ76">
    <cfRule type="expression" dxfId="186" priority="50">
      <formula>$AM$67=2</formula>
    </cfRule>
    <cfRule type="cellIs" priority="49" stopIfTrue="1" operator="greaterThan">
      <formula>0</formula>
    </cfRule>
  </conditionalFormatting>
  <conditionalFormatting sqref="E16">
    <cfRule type="expression" dxfId="185" priority="66">
      <formula>$AP$16=3</formula>
    </cfRule>
    <cfRule type="expression" dxfId="184" priority="65">
      <formula>$AM$16=1</formula>
    </cfRule>
  </conditionalFormatting>
  <conditionalFormatting sqref="E18">
    <cfRule type="expression" dxfId="183" priority="68">
      <formula>$AP$18=3</formula>
    </cfRule>
    <cfRule type="expression" dxfId="182" priority="67">
      <formula>$AM$18=1</formula>
    </cfRule>
  </conditionalFormatting>
  <conditionalFormatting sqref="E20">
    <cfRule type="expression" dxfId="181" priority="70">
      <formula>$AP$20=3</formula>
    </cfRule>
    <cfRule type="expression" dxfId="180" priority="69">
      <formula>$AM$20=1</formula>
    </cfRule>
  </conditionalFormatting>
  <conditionalFormatting sqref="E83:E84">
    <cfRule type="expression" dxfId="179" priority="44">
      <formula>ISBLANK(E83)</formula>
    </cfRule>
  </conditionalFormatting>
  <conditionalFormatting sqref="E86:E88">
    <cfRule type="expression" dxfId="178" priority="39">
      <formula>ISBLANK(E86)</formula>
    </cfRule>
  </conditionalFormatting>
  <conditionalFormatting sqref="E7:Y8 T9:Y10">
    <cfRule type="cellIs" dxfId="177" priority="5" operator="equal">
      <formula>0</formula>
    </cfRule>
  </conditionalFormatting>
  <conditionalFormatting sqref="E85:Y85">
    <cfRule type="expression" dxfId="176" priority="42">
      <formula>ISBLANK(E85)</formula>
    </cfRule>
  </conditionalFormatting>
  <conditionalFormatting sqref="F10 I10">
    <cfRule type="expression" dxfId="175" priority="91">
      <formula>$AM$11=0</formula>
    </cfRule>
    <cfRule type="expression" dxfId="174" priority="90">
      <formula>$AP$11=3</formula>
    </cfRule>
  </conditionalFormatting>
  <conditionalFormatting sqref="F12">
    <cfRule type="expression" dxfId="173" priority="47">
      <formula>ISBLANK(F12)</formula>
    </cfRule>
  </conditionalFormatting>
  <conditionalFormatting sqref="F14">
    <cfRule type="expression" dxfId="172" priority="22">
      <formula>ISBLANK(F14)</formula>
    </cfRule>
  </conditionalFormatting>
  <conditionalFormatting sqref="F23:H23">
    <cfRule type="expression" dxfId="171" priority="30">
      <formula>$AO$14=3</formula>
    </cfRule>
    <cfRule type="expression" dxfId="170" priority="29">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69" priority="81">
      <formula>$AQ$11=2</formula>
    </cfRule>
    <cfRule type="expression" dxfId="168" priority="80">
      <formula>$AQ$11=1</formula>
    </cfRule>
  </conditionalFormatting>
  <conditionalFormatting sqref="K22:M22">
    <cfRule type="expression" dxfId="167" priority="21">
      <formula>$AO$14=3</formula>
    </cfRule>
    <cfRule type="expression" dxfId="166" priority="20">
      <formula>$AO$14=0</formula>
    </cfRule>
  </conditionalFormatting>
  <conditionalFormatting sqref="K54:M54">
    <cfRule type="expression" dxfId="165" priority="86">
      <formula>$AN$11=1</formula>
    </cfRule>
    <cfRule type="cellIs" dxfId="164" priority="89" operator="equal">
      <formula>0</formula>
    </cfRule>
    <cfRule type="cellIs" priority="88" stopIfTrue="1" operator="greaterThan">
      <formula>0</formula>
    </cfRule>
    <cfRule type="expression" dxfId="163" priority="87">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62" priority="85">
      <formula>$AQ$11=3</formula>
    </cfRule>
    <cfRule type="expression" dxfId="161" priority="84">
      <formula>$AM$11=0</formula>
    </cfRule>
  </conditionalFormatting>
  <conditionalFormatting sqref="O86">
    <cfRule type="expression" dxfId="160" priority="40">
      <formula>ISBLANK(O86)</formula>
    </cfRule>
  </conditionalFormatting>
  <conditionalFormatting sqref="R54">
    <cfRule type="cellIs" priority="31" stopIfTrue="1" operator="greaterThan">
      <formula>0</formula>
    </cfRule>
    <cfRule type="cellIs" dxfId="159" priority="32" operator="equal">
      <formula>0</formula>
    </cfRule>
  </conditionalFormatting>
  <conditionalFormatting sqref="R54:T54">
    <cfRule type="expression" dxfId="158" priority="24">
      <formula>$AQ$11=1</formula>
    </cfRule>
    <cfRule type="expression" dxfId="157" priority="23">
      <formula>$AQ$11=2</formula>
    </cfRule>
  </conditionalFormatting>
  <conditionalFormatting sqref="R55:T55">
    <cfRule type="cellIs" dxfId="156" priority="7" operator="equal">
      <formula>0</formula>
    </cfRule>
  </conditionalFormatting>
  <conditionalFormatting sqref="U54">
    <cfRule type="expression" dxfId="155" priority="27">
      <formula>$AM$11=0</formula>
    </cfRule>
    <cfRule type="expression" dxfId="154" priority="28">
      <formula>$AQ$11=3</formula>
    </cfRule>
  </conditionalFormatting>
  <conditionalFormatting sqref="V12 V14">
    <cfRule type="expression" dxfId="153" priority="73">
      <formula>$AP$12=3</formula>
    </cfRule>
    <cfRule type="expression" dxfId="152" priority="74">
      <formula>$AM$12=0</formula>
    </cfRule>
  </conditionalFormatting>
  <conditionalFormatting sqref="W86">
    <cfRule type="expression" dxfId="151" priority="41">
      <formula>ISBLANK(W86)</formula>
    </cfRule>
  </conditionalFormatting>
  <conditionalFormatting sqref="Y54">
    <cfRule type="cellIs" dxfId="150" priority="13" operator="equal">
      <formula>0</formula>
    </cfRule>
    <cfRule type="cellIs" priority="12" stopIfTrue="1" operator="greaterThan">
      <formula>0</formula>
    </cfRule>
  </conditionalFormatting>
  <conditionalFormatting sqref="Y54:AA54">
    <cfRule type="expression" dxfId="149" priority="8">
      <formula>$AQ$11=2</formula>
    </cfRule>
    <cfRule type="expression" dxfId="148" priority="9">
      <formula>$AQ$11=1</formula>
    </cfRule>
  </conditionalFormatting>
  <conditionalFormatting sqref="Y55:AA55">
    <cfRule type="cellIs" dxfId="147" priority="6" operator="equal">
      <formula>0</formula>
    </cfRule>
  </conditionalFormatting>
  <conditionalFormatting sqref="AB24">
    <cfRule type="expression" dxfId="146" priority="19">
      <formula>$AQ$11=3</formula>
    </cfRule>
    <cfRule type="expression" dxfId="145" priority="18">
      <formula>$AM$11=0</formula>
    </cfRule>
  </conditionalFormatting>
  <conditionalFormatting sqref="AB54">
    <cfRule type="expression" dxfId="144" priority="10">
      <formula>$AM$11=0</formula>
    </cfRule>
    <cfRule type="expression" dxfId="143" priority="11">
      <formula>$AQ$11=3</formula>
    </cfRule>
  </conditionalFormatting>
  <conditionalFormatting sqref="AC90">
    <cfRule type="expression" dxfId="142" priority="43">
      <formula>ISBLANK(AC90)</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41" priority="4">
      <formula>$AM24=2</formula>
    </cfRule>
  </conditionalFormatting>
  <conditionalFormatting sqref="AE7:AJ7 AE10:AJ10 D64">
    <cfRule type="cellIs" dxfId="140" priority="38" operator="equal">
      <formula>0</formula>
    </cfRule>
  </conditionalFormatting>
  <conditionalFormatting sqref="AE64:AJ64">
    <cfRule type="cellIs" dxfId="139" priority="37" operator="equal">
      <formula>0</formula>
    </cfRule>
  </conditionalFormatting>
  <conditionalFormatting sqref="AH12">
    <cfRule type="cellIs" priority="71" stopIfTrue="1" operator="greaterThan">
      <formula>0</formula>
    </cfRule>
    <cfRule type="expression" dxfId="138" priority="72">
      <formula>$AN$12=1</formula>
    </cfRule>
  </conditionalFormatting>
  <conditionalFormatting sqref="AH14">
    <cfRule type="cellIs" priority="75" stopIfTrue="1" operator="greaterThan">
      <formula>0</formula>
    </cfRule>
    <cfRule type="expression" dxfId="137" priority="76">
      <formula>$AO$12=1</formula>
    </cfRule>
  </conditionalFormatting>
  <conditionalFormatting sqref="AH24 AH26 AH28 AH30 AH32 AH34 AH36 AH38 AH40 AH42 AH44 AH46 AH48 AH50 AH52 AE24 AE26 AE28 AE30 AE32 AE34 AE36 AE38 AE40 AE42 AE44 AE46 AE48 AE50 AE52">
    <cfRule type="expression" dxfId="136" priority="2">
      <formula>$AP24=3</formula>
    </cfRule>
  </conditionalFormatting>
  <conditionalFormatting sqref="AH24 AH26 AH28 AH30 AH32 AH34 AH36 AH38 AH40 AH42 AH44 AH46 AH48 AH50 AH52">
    <cfRule type="expression" dxfId="135"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97C75D15-FE0C-47A2-B772-26F98D116F1F}">
          <x14:formula1>
            <xm:f>Tables!$B$8</xm:f>
          </x14:formula1>
          <xm:sqref>A8:AC8 AK8:AL8 B9:D22 AE9:AL23 A1:AL7 AE53:AL1048576 A9:A1048576 B53:D1048576 E9:AD1048576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I31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9" width="2.6640625" style="28" customWidth="1"/>
    <col min="10" max="10" width="2.77734375" style="28" customWidth="1"/>
    <col min="11" max="11" width="2.6640625" style="28" customWidth="1"/>
    <col min="12" max="12" width="3.77734375" style="28" customWidth="1"/>
    <col min="13" max="13" width="1.77734375" style="28" customWidth="1"/>
    <col min="14" max="29" width="2.6640625" style="28" customWidth="1"/>
    <col min="30" max="30" width="2.77734375" style="28" customWidth="1"/>
    <col min="31" max="31" width="2.6640625" style="28" customWidth="1"/>
    <col min="32" max="32" width="2.77734375" style="28" customWidth="1"/>
    <col min="33" max="38" width="2.6640625" style="28" customWidth="1"/>
    <col min="39" max="39" width="13.21875" style="13" hidden="1" customWidth="1"/>
    <col min="40" max="41" width="8.5546875" style="13" hidden="1" customWidth="1"/>
    <col min="42" max="42" width="9.109375" style="22" hidden="1" customWidth="1"/>
    <col min="43" max="44" width="7.21875" style="22" hidden="1" customWidth="1"/>
    <col min="45" max="46" width="11.21875" style="22" hidden="1" customWidth="1"/>
    <col min="47" max="47" width="3.77734375" style="28" customWidth="1"/>
    <col min="48" max="48" width="2.77734375" style="23" customWidth="1"/>
    <col min="49" max="82" width="2.77734375" style="28" customWidth="1"/>
    <col min="83" max="85" width="8.88671875" style="28" hidden="1" customWidth="1"/>
    <col min="86" max="87" width="0" style="28" hidden="1" customWidth="1"/>
    <col min="88" max="16384" width="8.88671875" style="28" hidden="1"/>
  </cols>
  <sheetData>
    <row r="1" spans="1:85" ht="15" customHeight="1" x14ac:dyDescent="0.3">
      <c r="N1" s="3"/>
      <c r="O1" s="3"/>
      <c r="P1" s="3"/>
      <c r="Q1" s="3"/>
      <c r="R1" s="24"/>
      <c r="S1" s="192" t="s">
        <v>189</v>
      </c>
      <c r="T1" s="192"/>
      <c r="U1" s="192"/>
      <c r="V1" s="192"/>
      <c r="W1" s="192"/>
      <c r="X1" s="192"/>
      <c r="Y1" s="192"/>
      <c r="Z1" s="192"/>
      <c r="AA1" s="192"/>
      <c r="AB1" s="192"/>
      <c r="AC1" s="192"/>
      <c r="AD1" s="192"/>
      <c r="AE1" s="192"/>
      <c r="AF1" s="192"/>
      <c r="AG1" s="192"/>
      <c r="AH1" s="192"/>
      <c r="AI1" s="192"/>
      <c r="AJ1" s="192"/>
      <c r="AK1" s="192"/>
      <c r="AL1" s="192"/>
      <c r="BG1" s="192" t="str">
        <f>S1</f>
        <v>Form 3C - Underground Detention
As-Built Certification Form</v>
      </c>
      <c r="BH1" s="192"/>
      <c r="BI1" s="192"/>
      <c r="BJ1" s="192"/>
      <c r="BK1" s="192"/>
      <c r="BL1" s="192"/>
      <c r="BM1" s="192"/>
      <c r="BN1" s="192"/>
      <c r="BO1" s="192"/>
      <c r="BP1" s="192"/>
      <c r="BQ1" s="192"/>
      <c r="BR1" s="192"/>
      <c r="BS1" s="192"/>
      <c r="BT1" s="192"/>
      <c r="BU1" s="192"/>
      <c r="BV1" s="192"/>
      <c r="BW1" s="192"/>
      <c r="BX1" s="192"/>
      <c r="BY1" s="192"/>
      <c r="BZ1" s="192"/>
      <c r="CA1" s="192"/>
      <c r="CB1" s="192"/>
      <c r="CC1" s="192"/>
      <c r="CD1" s="71"/>
      <c r="CE1" s="24"/>
      <c r="CF1" s="24"/>
      <c r="CG1" s="24"/>
    </row>
    <row r="2" spans="1:85" ht="15" customHeight="1" x14ac:dyDescent="0.3">
      <c r="J2" s="3"/>
      <c r="K2" s="3"/>
      <c r="L2" s="3"/>
      <c r="M2" s="3"/>
      <c r="N2" s="3"/>
      <c r="O2" s="3"/>
      <c r="P2" s="3"/>
      <c r="Q2" s="3"/>
      <c r="R2" s="24"/>
      <c r="S2" s="192"/>
      <c r="T2" s="192"/>
      <c r="U2" s="192"/>
      <c r="V2" s="192"/>
      <c r="W2" s="192"/>
      <c r="X2" s="192"/>
      <c r="Y2" s="192"/>
      <c r="Z2" s="192"/>
      <c r="AA2" s="192"/>
      <c r="AB2" s="192"/>
      <c r="AC2" s="192"/>
      <c r="AD2" s="192"/>
      <c r="AE2" s="192"/>
      <c r="AF2" s="192"/>
      <c r="AG2" s="192"/>
      <c r="AH2" s="192"/>
      <c r="AI2" s="192"/>
      <c r="AJ2" s="192"/>
      <c r="AK2" s="192"/>
      <c r="AL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71"/>
      <c r="CE2" s="24"/>
      <c r="CF2" s="24"/>
      <c r="CG2" s="24"/>
    </row>
    <row r="3" spans="1:85" ht="15" customHeight="1" x14ac:dyDescent="0.3">
      <c r="J3" s="3"/>
      <c r="K3" s="3"/>
      <c r="L3" s="3"/>
      <c r="M3" s="3"/>
      <c r="N3" s="3"/>
      <c r="O3" s="3"/>
      <c r="P3" s="3"/>
      <c r="Q3" s="3"/>
      <c r="R3" s="24"/>
      <c r="S3" s="192"/>
      <c r="T3" s="192"/>
      <c r="U3" s="192"/>
      <c r="V3" s="192"/>
      <c r="W3" s="192"/>
      <c r="X3" s="192"/>
      <c r="Y3" s="192"/>
      <c r="Z3" s="192"/>
      <c r="AA3" s="192"/>
      <c r="AB3" s="192"/>
      <c r="AC3" s="192"/>
      <c r="AD3" s="192"/>
      <c r="AE3" s="192"/>
      <c r="AF3" s="192"/>
      <c r="AG3" s="192"/>
      <c r="AH3" s="192"/>
      <c r="AI3" s="192"/>
      <c r="AJ3" s="192"/>
      <c r="AK3" s="192"/>
      <c r="AL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71"/>
      <c r="CE3" s="24"/>
      <c r="CF3" s="24"/>
      <c r="CG3" s="24"/>
    </row>
    <row r="4" spans="1:85" ht="15" customHeight="1" x14ac:dyDescent="0.3">
      <c r="J4" s="3"/>
      <c r="K4" s="3"/>
      <c r="L4" s="3"/>
      <c r="M4" s="3"/>
      <c r="N4" s="3"/>
      <c r="O4" s="3"/>
      <c r="P4" s="3"/>
      <c r="Q4" s="3"/>
      <c r="R4" s="24"/>
      <c r="S4" s="192"/>
      <c r="T4" s="192"/>
      <c r="U4" s="192"/>
      <c r="V4" s="192"/>
      <c r="W4" s="192"/>
      <c r="X4" s="192"/>
      <c r="Y4" s="192"/>
      <c r="Z4" s="192"/>
      <c r="AA4" s="192"/>
      <c r="AB4" s="192"/>
      <c r="AC4" s="192"/>
      <c r="AD4" s="192"/>
      <c r="AE4" s="192"/>
      <c r="AF4" s="192"/>
      <c r="AG4" s="192"/>
      <c r="AH4" s="192"/>
      <c r="AI4" s="192"/>
      <c r="AJ4" s="192"/>
      <c r="AK4" s="192"/>
      <c r="AL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71"/>
      <c r="CE4" s="24"/>
      <c r="CF4" s="24"/>
      <c r="CG4" s="24"/>
    </row>
    <row r="5" spans="1:85" ht="4.95" customHeight="1" x14ac:dyDescent="0.3">
      <c r="J5" s="3"/>
      <c r="K5" s="3"/>
      <c r="L5" s="3"/>
      <c r="M5" s="3"/>
      <c r="N5" s="3"/>
      <c r="O5" s="3"/>
      <c r="P5" s="3"/>
      <c r="Q5" s="3"/>
      <c r="R5" s="25"/>
      <c r="S5" s="25"/>
      <c r="T5" s="25"/>
      <c r="U5" s="25"/>
      <c r="V5" s="25"/>
      <c r="W5" s="25"/>
      <c r="X5" s="25"/>
      <c r="Y5" s="25"/>
      <c r="Z5" s="25"/>
      <c r="AA5" s="25"/>
      <c r="AB5" s="25"/>
      <c r="AC5" s="25"/>
      <c r="AD5" s="25"/>
      <c r="AE5" s="25"/>
      <c r="AF5" s="25"/>
      <c r="AG5" s="25"/>
      <c r="AH5" s="25"/>
      <c r="AI5" s="25"/>
      <c r="AJ5" s="25"/>
      <c r="AK5" s="25"/>
    </row>
    <row r="6" spans="1:85" ht="15" customHeight="1" x14ac:dyDescent="0.3">
      <c r="A6" s="1" t="s">
        <v>0</v>
      </c>
      <c r="C6" s="1"/>
      <c r="D6" s="1"/>
      <c r="E6" s="1"/>
      <c r="F6" s="1"/>
      <c r="G6" s="1"/>
      <c r="H6" s="1"/>
      <c r="I6" s="1"/>
      <c r="AD6" s="2" t="s">
        <v>458</v>
      </c>
      <c r="AE6" s="271">
        <f>'Form 2C.1 - Design'!AD6</f>
        <v>0</v>
      </c>
      <c r="AF6" s="271"/>
      <c r="AG6" s="271"/>
      <c r="AH6" s="271"/>
      <c r="AI6" s="271"/>
      <c r="AJ6" s="271"/>
      <c r="AK6" s="271"/>
      <c r="AM6" s="96">
        <f>LEN(AE6)</f>
        <v>1</v>
      </c>
      <c r="AV6" s="191" t="s">
        <v>67</v>
      </c>
      <c r="AW6" s="191"/>
      <c r="AX6" s="191"/>
      <c r="AY6" s="191"/>
      <c r="AZ6" s="191"/>
      <c r="BA6" s="191"/>
      <c r="BB6" s="191"/>
      <c r="BC6" s="191"/>
      <c r="BD6" s="191"/>
      <c r="BE6" s="191"/>
      <c r="BF6" s="191"/>
      <c r="BG6" s="191"/>
      <c r="BH6" s="191"/>
      <c r="BI6" s="191"/>
      <c r="BZ6" s="27"/>
      <c r="CA6" s="27"/>
      <c r="CB6" s="27"/>
      <c r="CC6" s="27"/>
      <c r="CD6" s="27"/>
    </row>
    <row r="7" spans="1:85" ht="15" customHeight="1" x14ac:dyDescent="0.3">
      <c r="C7" s="2"/>
      <c r="D7" s="2" t="s">
        <v>1</v>
      </c>
      <c r="E7" s="199">
        <f>'Form 2C.1 - Design'!$E$7</f>
        <v>0</v>
      </c>
      <c r="F7" s="199"/>
      <c r="G7" s="199"/>
      <c r="H7" s="199"/>
      <c r="I7" s="199"/>
      <c r="J7" s="199"/>
      <c r="K7" s="199"/>
      <c r="L7" s="199"/>
      <c r="M7" s="199"/>
      <c r="N7" s="199"/>
      <c r="O7" s="199"/>
      <c r="P7" s="199"/>
      <c r="Q7" s="199"/>
      <c r="R7" s="199"/>
      <c r="S7" s="199"/>
      <c r="T7" s="199"/>
      <c r="U7" s="199"/>
      <c r="V7" s="199"/>
      <c r="W7" s="199"/>
      <c r="X7" s="199"/>
      <c r="Y7" s="199"/>
      <c r="Z7" s="199"/>
      <c r="AE7" s="2" t="s">
        <v>19</v>
      </c>
      <c r="AF7" s="264"/>
      <c r="AG7" s="264"/>
      <c r="AH7" s="264"/>
      <c r="AI7" s="264"/>
      <c r="AJ7" s="264"/>
      <c r="AK7" s="264"/>
      <c r="AV7" s="191"/>
      <c r="AW7" s="191"/>
      <c r="AX7" s="191"/>
      <c r="AY7" s="191"/>
      <c r="AZ7" s="191"/>
      <c r="BA7" s="191"/>
      <c r="BB7" s="191"/>
      <c r="BC7" s="191"/>
      <c r="BD7" s="191"/>
      <c r="BE7" s="191"/>
      <c r="BF7" s="191"/>
      <c r="BG7" s="191"/>
      <c r="BH7" s="191"/>
      <c r="BI7" s="191"/>
      <c r="BJ7" s="67"/>
      <c r="BK7" s="67"/>
      <c r="BL7" s="67"/>
      <c r="BM7" s="67"/>
      <c r="BN7" s="67"/>
      <c r="BO7" s="67"/>
      <c r="BP7" s="67"/>
      <c r="BQ7" s="67"/>
      <c r="BR7" s="67"/>
      <c r="BS7" s="67"/>
      <c r="BT7" s="67"/>
      <c r="BU7" s="67"/>
      <c r="BV7" s="67"/>
      <c r="BW7" s="67"/>
      <c r="BX7" s="67"/>
      <c r="BY7" s="67"/>
      <c r="BZ7" s="67"/>
      <c r="CA7" s="67"/>
      <c r="CB7" s="67"/>
      <c r="CC7" s="67"/>
      <c r="CD7" s="67"/>
    </row>
    <row r="8" spans="1:85" ht="15" customHeight="1" x14ac:dyDescent="0.3">
      <c r="C8" s="2"/>
      <c r="D8" s="2" t="s">
        <v>18</v>
      </c>
      <c r="E8" s="254">
        <f>'Form 2C.1 - Design'!$E$8</f>
        <v>0</v>
      </c>
      <c r="F8" s="254"/>
      <c r="G8" s="254"/>
      <c r="H8" s="254"/>
      <c r="I8" s="254"/>
      <c r="J8" s="254"/>
      <c r="K8" s="254"/>
      <c r="L8" s="254"/>
      <c r="M8" s="254"/>
      <c r="N8" s="254"/>
      <c r="O8" s="254"/>
      <c r="P8" s="254"/>
      <c r="Q8" s="254"/>
      <c r="R8" s="254"/>
      <c r="S8" s="254"/>
      <c r="T8" s="254"/>
      <c r="U8" s="254"/>
      <c r="V8" s="254"/>
      <c r="W8" s="254"/>
      <c r="X8" s="254"/>
      <c r="Y8" s="254"/>
      <c r="Z8" s="254"/>
      <c r="AE8" s="2" t="s">
        <v>32</v>
      </c>
      <c r="AF8" s="196">
        <f>'Form 2C.1 - Design'!AE8</f>
        <v>0</v>
      </c>
      <c r="AG8" s="196"/>
      <c r="AH8" s="196"/>
      <c r="AI8" s="196"/>
      <c r="AJ8" s="196"/>
      <c r="AK8" s="196"/>
      <c r="AV8" s="23">
        <v>1</v>
      </c>
      <c r="AW8" s="76" t="s">
        <v>92</v>
      </c>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row>
    <row r="9" spans="1:85" ht="4.95" customHeight="1" x14ac:dyDescent="0.3">
      <c r="H9" s="2"/>
      <c r="I9" s="2"/>
      <c r="AY9" s="86"/>
      <c r="AZ9" s="86"/>
      <c r="BA9" s="86"/>
      <c r="BB9" s="67"/>
      <c r="BC9" s="67"/>
      <c r="CB9" s="27"/>
      <c r="CC9" s="27"/>
      <c r="CD9" s="27"/>
    </row>
    <row r="10" spans="1:85" ht="15" customHeight="1" x14ac:dyDescent="0.3">
      <c r="B10" s="28" t="s">
        <v>115</v>
      </c>
      <c r="G10" s="62"/>
      <c r="H10" s="28" t="s">
        <v>112</v>
      </c>
      <c r="N10" s="62"/>
      <c r="O10" s="28" t="s">
        <v>113</v>
      </c>
      <c r="W10" s="4"/>
      <c r="X10" s="4"/>
      <c r="Y10" s="4"/>
      <c r="Z10" s="62"/>
      <c r="AA10" s="28" t="str">
        <f>Tables!F24</f>
        <v xml:space="preserve"> O&amp;M Plan</v>
      </c>
      <c r="AH10" s="62"/>
      <c r="AI10" s="28" t="s">
        <v>116</v>
      </c>
      <c r="AW10" s="4" t="s">
        <v>94</v>
      </c>
      <c r="AX10" s="76" t="s">
        <v>241</v>
      </c>
      <c r="AY10" s="86"/>
      <c r="AZ10" s="86"/>
      <c r="BA10" s="86"/>
      <c r="BB10" s="67"/>
      <c r="BC10" s="67"/>
      <c r="BD10"/>
      <c r="BE10"/>
      <c r="BF10"/>
      <c r="BG10"/>
      <c r="BH10"/>
      <c r="BI10"/>
      <c r="BJ10"/>
      <c r="BK10"/>
      <c r="BL10"/>
      <c r="BM10"/>
      <c r="BN10"/>
      <c r="BO10"/>
      <c r="BP10"/>
      <c r="BQ10"/>
      <c r="BR10"/>
      <c r="BS10"/>
      <c r="BT10"/>
      <c r="BU10"/>
      <c r="BV10"/>
      <c r="BW10"/>
      <c r="BX10"/>
      <c r="BY10"/>
      <c r="BZ10" s="27"/>
      <c r="CA10" s="27"/>
      <c r="CB10" s="27"/>
      <c r="CC10" s="27"/>
      <c r="CD10" s="27"/>
    </row>
    <row r="11" spans="1:85" ht="4.95" customHeight="1" x14ac:dyDescent="0.3">
      <c r="CB11" s="27"/>
      <c r="CC11" s="27"/>
      <c r="CD11" s="27"/>
    </row>
    <row r="12" spans="1:85" ht="15" customHeight="1" x14ac:dyDescent="0.3">
      <c r="A12" s="255" t="s">
        <v>193</v>
      </c>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W12" s="4" t="s">
        <v>95</v>
      </c>
      <c r="AX12" s="76" t="s">
        <v>93</v>
      </c>
      <c r="AY12" s="76"/>
      <c r="AZ12" s="76"/>
      <c r="BA12" s="76"/>
      <c r="BB12"/>
      <c r="BC12"/>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row>
    <row r="13" spans="1:85" ht="15" customHeight="1" x14ac:dyDescent="0.3">
      <c r="B13" s="1" t="s">
        <v>54</v>
      </c>
      <c r="C13" s="1"/>
      <c r="D13" s="1"/>
      <c r="E13" s="1"/>
      <c r="F13" s="1"/>
      <c r="G13" s="1"/>
      <c r="I13" s="1"/>
      <c r="J13" s="1"/>
      <c r="K13" s="1"/>
      <c r="L13" s="1"/>
      <c r="M13" s="1"/>
      <c r="N13" s="1"/>
      <c r="O13" s="1"/>
      <c r="P13" s="1"/>
      <c r="Q13" s="1"/>
      <c r="R13" s="1"/>
      <c r="S13" s="65"/>
      <c r="T13" s="30"/>
      <c r="U13" s="1" t="s">
        <v>55</v>
      </c>
      <c r="V13" s="1"/>
      <c r="W13" s="1"/>
      <c r="X13" s="1"/>
      <c r="Y13" s="1"/>
      <c r="Z13" s="1"/>
      <c r="AA13" s="1"/>
      <c r="AB13" s="1"/>
      <c r="AD13" s="1"/>
      <c r="AE13" s="1"/>
      <c r="AF13" s="1"/>
      <c r="AG13" s="1"/>
      <c r="AI13" s="61"/>
      <c r="AJ13" s="61"/>
      <c r="AV13" s="23">
        <v>2</v>
      </c>
      <c r="AW13" s="76" t="s">
        <v>482</v>
      </c>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row>
    <row r="14" spans="1:85" ht="4.95" customHeight="1" x14ac:dyDescent="0.3">
      <c r="S14" s="65"/>
      <c r="AI14" s="12"/>
      <c r="AJ14" s="12"/>
      <c r="AY14" s="86"/>
      <c r="AZ14" s="86"/>
      <c r="BA14" s="86"/>
      <c r="BB14" s="67"/>
      <c r="BC14" s="67"/>
      <c r="CB14" s="27"/>
      <c r="CC14" s="27"/>
      <c r="CD14" s="27"/>
    </row>
    <row r="15" spans="1:85" ht="15" customHeight="1" x14ac:dyDescent="0.3">
      <c r="B15" s="104">
        <f>'Form 2C.1 - Design'!B63</f>
        <v>0</v>
      </c>
      <c r="C15" s="82" t="s">
        <v>204</v>
      </c>
      <c r="M15" s="2" t="s">
        <v>214</v>
      </c>
      <c r="N15" s="252">
        <f>'Form 2C.1 - Design'!J66</f>
        <v>0</v>
      </c>
      <c r="O15" s="247"/>
      <c r="P15" s="247"/>
      <c r="Q15" s="247"/>
      <c r="R15" s="28" t="s">
        <v>213</v>
      </c>
      <c r="S15" s="65"/>
      <c r="U15" s="62"/>
      <c r="V15" s="82" t="s">
        <v>204</v>
      </c>
      <c r="AF15" s="2" t="s">
        <v>214</v>
      </c>
      <c r="AG15" s="189"/>
      <c r="AH15" s="189"/>
      <c r="AI15" s="189"/>
      <c r="AJ15" s="189"/>
      <c r="AK15" s="28" t="s">
        <v>213</v>
      </c>
      <c r="AM15" s="96">
        <f>IF(ISBLANK(U15),1,2)</f>
        <v>1</v>
      </c>
      <c r="AN15" s="96">
        <f>IF(AND(ISBLANK(U15),ISBLANK(U27)),1,2)</f>
        <v>1</v>
      </c>
      <c r="AO15" s="22"/>
      <c r="AW15" s="4" t="s">
        <v>94</v>
      </c>
      <c r="AX15" s="86" t="s">
        <v>279</v>
      </c>
      <c r="AY15" s="86"/>
      <c r="AZ15" s="86"/>
      <c r="BA15" s="86"/>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row>
    <row r="16" spans="1:85" ht="15" customHeight="1" x14ac:dyDescent="0.3">
      <c r="F16" s="2" t="s">
        <v>161</v>
      </c>
      <c r="G16" s="235">
        <f>'Form 2C.1 - Design'!J65</f>
        <v>0</v>
      </c>
      <c r="H16" s="235"/>
      <c r="I16" s="235"/>
      <c r="J16" s="235"/>
      <c r="M16" s="2" t="s">
        <v>162</v>
      </c>
      <c r="N16" s="237">
        <f>'Form 2C.1 - Design'!S65</f>
        <v>0</v>
      </c>
      <c r="O16" s="237"/>
      <c r="P16" s="237"/>
      <c r="R16" s="1"/>
      <c r="S16" s="65"/>
      <c r="Y16" s="2" t="s">
        <v>161</v>
      </c>
      <c r="Z16" s="182"/>
      <c r="AA16" s="182"/>
      <c r="AB16" s="182"/>
      <c r="AC16" s="182"/>
      <c r="AF16" s="2" t="s">
        <v>162</v>
      </c>
      <c r="AG16" s="182"/>
      <c r="AH16" s="182"/>
      <c r="AI16" s="182"/>
      <c r="AK16" s="1"/>
      <c r="AX16" s="86" t="s">
        <v>280</v>
      </c>
      <c r="AY16" s="86"/>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row>
    <row r="17" spans="2:82" ht="15" customHeight="1" x14ac:dyDescent="0.3">
      <c r="F17" s="2" t="s">
        <v>163</v>
      </c>
      <c r="G17" s="206">
        <f>'Form 2C.1 - Design'!Z65</f>
        <v>0</v>
      </c>
      <c r="H17" s="206"/>
      <c r="I17" s="206"/>
      <c r="J17" s="28" t="s">
        <v>40</v>
      </c>
      <c r="M17" s="2" t="s">
        <v>206</v>
      </c>
      <c r="N17" s="261">
        <f>'Form 2C.1 - Design'!AG65</f>
        <v>0</v>
      </c>
      <c r="O17" s="244"/>
      <c r="P17" s="244"/>
      <c r="Q17" s="28" t="s">
        <v>40</v>
      </c>
      <c r="R17" s="1"/>
      <c r="S17" s="65"/>
      <c r="Y17" s="2" t="s">
        <v>163</v>
      </c>
      <c r="Z17" s="187"/>
      <c r="AA17" s="187"/>
      <c r="AB17" s="187"/>
      <c r="AC17" s="28" t="s">
        <v>40</v>
      </c>
      <c r="AF17" s="2" t="s">
        <v>206</v>
      </c>
      <c r="AG17" s="179"/>
      <c r="AH17" s="179"/>
      <c r="AI17" s="179"/>
      <c r="AJ17" s="28" t="s">
        <v>40</v>
      </c>
      <c r="AK17" s="1"/>
      <c r="AW17" s="4" t="s">
        <v>95</v>
      </c>
      <c r="AX17" s="76" t="s">
        <v>97</v>
      </c>
      <c r="AY17" s="76"/>
      <c r="AZ17" s="86"/>
      <c r="BA17" s="86"/>
      <c r="BB17" s="67"/>
      <c r="BC17" s="67"/>
      <c r="BD17"/>
      <c r="BE17"/>
      <c r="BF17"/>
      <c r="BG17"/>
      <c r="BH17"/>
      <c r="BI17"/>
      <c r="BJ17"/>
      <c r="BK17"/>
      <c r="BL17"/>
      <c r="BM17"/>
      <c r="BN17"/>
      <c r="BO17"/>
      <c r="BP17"/>
      <c r="BQ17"/>
      <c r="BR17"/>
      <c r="BS17"/>
      <c r="BT17"/>
      <c r="BU17"/>
      <c r="BV17"/>
      <c r="BW17"/>
      <c r="BX17"/>
      <c r="BY17"/>
      <c r="BZ17" s="27"/>
      <c r="CA17" s="27"/>
      <c r="CB17" s="27"/>
      <c r="CC17" s="27"/>
      <c r="CD17" s="27"/>
    </row>
    <row r="18" spans="2:82" ht="15" customHeight="1" x14ac:dyDescent="0.3">
      <c r="F18" s="2" t="s">
        <v>160</v>
      </c>
      <c r="G18" s="261">
        <f>'Form 2C.1 - Design'!S66</f>
        <v>0</v>
      </c>
      <c r="H18" s="244"/>
      <c r="I18" s="244"/>
      <c r="J18" s="28" t="s">
        <v>39</v>
      </c>
      <c r="R18" s="1"/>
      <c r="S18" s="65"/>
      <c r="Y18" s="2" t="s">
        <v>160</v>
      </c>
      <c r="Z18" s="179"/>
      <c r="AA18" s="179"/>
      <c r="AB18" s="179"/>
      <c r="AC18" s="28" t="s">
        <v>39</v>
      </c>
      <c r="AK18" s="1"/>
      <c r="AM18" s="96">
        <f>IF(ISBLANK(Z18),1,2)</f>
        <v>1</v>
      </c>
      <c r="AW18" s="4" t="s">
        <v>104</v>
      </c>
      <c r="AX18" s="86" t="s">
        <v>413</v>
      </c>
      <c r="AZ18" s="86"/>
      <c r="BA18" s="86"/>
      <c r="BB18" s="67"/>
      <c r="BC18" s="67"/>
      <c r="BZ18" s="27"/>
      <c r="CA18" s="27"/>
      <c r="CB18" s="27"/>
      <c r="CC18" s="27"/>
      <c r="CD18" s="27"/>
    </row>
    <row r="19" spans="2:82" ht="15" customHeight="1" x14ac:dyDescent="0.3">
      <c r="F19" s="2" t="s">
        <v>159</v>
      </c>
      <c r="G19" s="261">
        <f>'Form 2C.1 - Design'!Z66</f>
        <v>0</v>
      </c>
      <c r="H19" s="244"/>
      <c r="I19" s="244"/>
      <c r="J19" s="28" t="s">
        <v>40</v>
      </c>
      <c r="M19" s="2" t="s">
        <v>205</v>
      </c>
      <c r="N19" s="232">
        <f>'Form 2C.1 - Design'!AG66</f>
        <v>0</v>
      </c>
      <c r="O19" s="247"/>
      <c r="P19" s="247"/>
      <c r="Q19" s="28" t="s">
        <v>40</v>
      </c>
      <c r="R19" s="1"/>
      <c r="S19" s="65"/>
      <c r="Y19" s="2" t="s">
        <v>159</v>
      </c>
      <c r="Z19" s="179"/>
      <c r="AA19" s="179"/>
      <c r="AB19" s="179"/>
      <c r="AC19" s="28" t="s">
        <v>40</v>
      </c>
      <c r="AF19" s="2" t="s">
        <v>205</v>
      </c>
      <c r="AG19" s="181"/>
      <c r="AH19" s="181"/>
      <c r="AI19" s="181"/>
      <c r="AJ19" s="28" t="s">
        <v>40</v>
      </c>
      <c r="AK19" s="1"/>
      <c r="AM19" s="96">
        <f>IF(AND(ISBLANK(Z19),ISBLANK(AG19)),1,2)</f>
        <v>1</v>
      </c>
      <c r="AV19" s="28"/>
      <c r="AX19" s="86" t="s">
        <v>414</v>
      </c>
      <c r="AZ19" s="76"/>
      <c r="BA19" s="76"/>
      <c r="BB19"/>
      <c r="BC19"/>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row>
    <row r="20" spans="2:82" ht="4.95" customHeight="1" x14ac:dyDescent="0.3">
      <c r="S20" s="65"/>
      <c r="AI20" s="12"/>
      <c r="AJ20" s="12"/>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row>
    <row r="21" spans="2:82" ht="15" customHeight="1" x14ac:dyDescent="0.3">
      <c r="B21" s="83" t="s">
        <v>319</v>
      </c>
      <c r="J21" s="104">
        <f>'Form 2C.1 - Design'!J68</f>
        <v>0</v>
      </c>
      <c r="K21" s="28" t="s">
        <v>305</v>
      </c>
      <c r="O21" s="2" t="s">
        <v>403</v>
      </c>
      <c r="P21" s="247">
        <f>'Form 2C.1 - Design'!Q69</f>
        <v>0</v>
      </c>
      <c r="Q21" s="247"/>
      <c r="R21" s="28" t="s">
        <v>227</v>
      </c>
      <c r="S21" s="65"/>
      <c r="U21" s="83" t="s">
        <v>319</v>
      </c>
      <c r="AC21" s="62"/>
      <c r="AD21" s="28" t="s">
        <v>305</v>
      </c>
      <c r="AH21" s="2" t="s">
        <v>403</v>
      </c>
      <c r="AI21" s="190"/>
      <c r="AJ21" s="190"/>
      <c r="AK21" s="28" t="s">
        <v>227</v>
      </c>
      <c r="AM21" s="96">
        <f>IF(ISBLANK(AC21),1,2)</f>
        <v>1</v>
      </c>
      <c r="AN21" s="96">
        <f>IF(ISBLANK(AI21),1,2)</f>
        <v>1</v>
      </c>
      <c r="AO21" s="22"/>
      <c r="AW21" s="4" t="s">
        <v>105</v>
      </c>
      <c r="AX21" s="86" t="s">
        <v>281</v>
      </c>
      <c r="AY21" s="86"/>
      <c r="AZ21" s="86"/>
      <c r="BA21" s="86"/>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row>
    <row r="22" spans="2:82" ht="15" customHeight="1" x14ac:dyDescent="0.3">
      <c r="E22" s="2" t="s">
        <v>161</v>
      </c>
      <c r="F22" s="235">
        <f>'Form 2C.1 - Design'!Q68</f>
        <v>0</v>
      </c>
      <c r="G22" s="235"/>
      <c r="H22" s="235"/>
      <c r="I22" s="235"/>
      <c r="O22" s="2" t="s">
        <v>160</v>
      </c>
      <c r="P22" s="246">
        <f>'Form 2C.1 - Design'!Z68</f>
        <v>0</v>
      </c>
      <c r="Q22" s="246"/>
      <c r="R22" s="28" t="s">
        <v>39</v>
      </c>
      <c r="S22" s="65"/>
      <c r="X22" s="2" t="s">
        <v>161</v>
      </c>
      <c r="Y22" s="182"/>
      <c r="Z22" s="182"/>
      <c r="AA22" s="182"/>
      <c r="AB22" s="182"/>
      <c r="AH22" s="2" t="s">
        <v>160</v>
      </c>
      <c r="AI22" s="181"/>
      <c r="AJ22" s="181"/>
      <c r="AK22" s="28" t="s">
        <v>39</v>
      </c>
      <c r="AX22" s="86" t="s">
        <v>282</v>
      </c>
      <c r="AY22" s="86"/>
      <c r="AZ22" s="86"/>
      <c r="BA22" s="86"/>
      <c r="BB22" s="67"/>
      <c r="BC22" s="67"/>
      <c r="BD22"/>
      <c r="BE22"/>
      <c r="BF22"/>
      <c r="BG22"/>
      <c r="BH22"/>
      <c r="BI22"/>
      <c r="BJ22"/>
      <c r="BK22"/>
      <c r="BL22"/>
      <c r="BM22"/>
      <c r="BN22"/>
      <c r="BO22"/>
      <c r="BP22"/>
      <c r="BQ22"/>
      <c r="BR22"/>
      <c r="BS22"/>
      <c r="BT22"/>
      <c r="BU22"/>
      <c r="BV22"/>
      <c r="BW22"/>
      <c r="BX22"/>
      <c r="BY22"/>
      <c r="CA22" s="27"/>
      <c r="CB22" s="27"/>
      <c r="CC22" s="27"/>
      <c r="CD22" s="27"/>
    </row>
    <row r="23" spans="2:82" ht="4.95" customHeight="1" x14ac:dyDescent="0.3">
      <c r="S23" s="65"/>
      <c r="AX23" s="86"/>
      <c r="AY23" s="86"/>
      <c r="AZ23" s="86"/>
      <c r="BA23" s="86"/>
      <c r="BB23" s="67"/>
      <c r="BC23" s="67"/>
      <c r="BD23"/>
      <c r="BE23"/>
      <c r="BF23"/>
      <c r="BG23"/>
      <c r="BH23"/>
      <c r="BI23"/>
      <c r="BJ23"/>
      <c r="BK23"/>
      <c r="BL23"/>
      <c r="BM23"/>
      <c r="BN23"/>
      <c r="BO23"/>
      <c r="BP23"/>
      <c r="BQ23"/>
      <c r="BR23"/>
      <c r="BS23"/>
      <c r="BT23"/>
      <c r="BU23"/>
      <c r="BV23"/>
      <c r="BW23"/>
      <c r="BX23"/>
      <c r="BY23"/>
      <c r="CA23" s="27"/>
      <c r="CB23" s="27"/>
      <c r="CC23" s="27"/>
      <c r="CD23" s="27"/>
    </row>
    <row r="24" spans="2:82" ht="15" customHeight="1" x14ac:dyDescent="0.3">
      <c r="B24" s="83" t="s">
        <v>229</v>
      </c>
      <c r="J24" s="104">
        <f>'Form 2C.1 - Design'!J70</f>
        <v>0</v>
      </c>
      <c r="K24" s="28" t="s">
        <v>305</v>
      </c>
      <c r="O24" s="2" t="s">
        <v>160</v>
      </c>
      <c r="P24" s="246">
        <f>'Form 2C.1 - Design'!Z70</f>
        <v>0</v>
      </c>
      <c r="Q24" s="247"/>
      <c r="R24" s="28" t="s">
        <v>39</v>
      </c>
      <c r="S24" s="65"/>
      <c r="U24" s="83" t="s">
        <v>229</v>
      </c>
      <c r="AC24" s="62"/>
      <c r="AD24" s="28" t="s">
        <v>305</v>
      </c>
      <c r="AH24" s="2" t="s">
        <v>160</v>
      </c>
      <c r="AI24" s="181"/>
      <c r="AJ24" s="181"/>
      <c r="AK24" s="28" t="s">
        <v>39</v>
      </c>
      <c r="AM24" s="96">
        <f>IF(ISBLANK(AC24),1,2)</f>
        <v>1</v>
      </c>
      <c r="AW24" s="4" t="s">
        <v>103</v>
      </c>
      <c r="AX24" s="28" t="s">
        <v>481</v>
      </c>
      <c r="BD24" s="29"/>
      <c r="BE24" s="29"/>
      <c r="BF24" s="29"/>
      <c r="BG24" s="29"/>
      <c r="BH24" s="29"/>
      <c r="BI24" s="29"/>
      <c r="BJ24" s="29"/>
      <c r="BK24" s="29"/>
      <c r="BL24" s="29"/>
      <c r="BM24" s="29"/>
      <c r="BN24" s="29"/>
      <c r="BO24" s="29"/>
      <c r="BP24" s="29"/>
      <c r="BQ24" s="29"/>
      <c r="BR24" s="29"/>
      <c r="BS24" s="29"/>
      <c r="BT24" s="29"/>
      <c r="BU24" s="29"/>
      <c r="BV24" s="29"/>
      <c r="BW24" s="29"/>
      <c r="BX24" s="29"/>
      <c r="BY24" s="29"/>
      <c r="CA24" s="27"/>
      <c r="CB24" s="27"/>
      <c r="CC24" s="27"/>
      <c r="CD24" s="27"/>
    </row>
    <row r="25" spans="2:82" ht="15" customHeight="1" x14ac:dyDescent="0.3">
      <c r="E25" s="2" t="s">
        <v>161</v>
      </c>
      <c r="F25" s="235">
        <f>'Form 2C.1 - Design'!Q70</f>
        <v>0</v>
      </c>
      <c r="G25" s="235"/>
      <c r="H25" s="235"/>
      <c r="I25" s="235"/>
      <c r="N25" s="2" t="s">
        <v>240</v>
      </c>
      <c r="O25" s="246">
        <f>'Form 2C.1 - Design'!AG70</f>
        <v>0</v>
      </c>
      <c r="P25" s="247"/>
      <c r="Q25" s="247"/>
      <c r="R25" s="28" t="s">
        <v>40</v>
      </c>
      <c r="S25" s="65"/>
      <c r="Y25" s="2" t="s">
        <v>161</v>
      </c>
      <c r="Z25" s="182"/>
      <c r="AA25" s="182"/>
      <c r="AB25" s="182"/>
      <c r="AC25" s="182"/>
      <c r="AG25" s="2" t="s">
        <v>240</v>
      </c>
      <c r="AH25" s="181"/>
      <c r="AI25" s="181"/>
      <c r="AJ25" s="181"/>
      <c r="AK25" s="28" t="s">
        <v>40</v>
      </c>
      <c r="AV25" s="23">
        <v>3</v>
      </c>
      <c r="AW25" s="76" t="s">
        <v>96</v>
      </c>
      <c r="BD25" s="29"/>
      <c r="BE25" s="29"/>
      <c r="BF25" s="29"/>
      <c r="BG25" s="29"/>
      <c r="BH25" s="29"/>
      <c r="BI25" s="29"/>
      <c r="BJ25" s="29"/>
      <c r="BK25" s="29"/>
      <c r="BL25" s="29"/>
      <c r="BM25" s="29"/>
      <c r="BN25" s="29"/>
      <c r="BO25" s="29"/>
      <c r="BP25" s="29"/>
      <c r="BQ25" s="29"/>
      <c r="BR25" s="29"/>
      <c r="BS25" s="29"/>
      <c r="BT25" s="29"/>
      <c r="BU25" s="29"/>
      <c r="BV25" s="29"/>
      <c r="BW25" s="29"/>
      <c r="BX25" s="29"/>
      <c r="BY25" s="29"/>
      <c r="CA25" s="27"/>
      <c r="CB25" s="27"/>
      <c r="CC25" s="27"/>
      <c r="CD25" s="27"/>
    </row>
    <row r="26" spans="2:82" ht="4.95" customHeight="1" x14ac:dyDescent="0.3">
      <c r="S26" s="65"/>
      <c r="AI26" s="12"/>
      <c r="AJ26" s="12"/>
      <c r="BA26" s="76"/>
      <c r="BB26"/>
      <c r="BC26"/>
      <c r="CA26" s="27"/>
      <c r="CB26" s="27"/>
      <c r="CC26" s="27"/>
      <c r="CD26" s="27"/>
    </row>
    <row r="27" spans="2:82" ht="15" customHeight="1" x14ac:dyDescent="0.3">
      <c r="B27" s="104">
        <f>'Form 2C.1 - Design'!B72</f>
        <v>0</v>
      </c>
      <c r="C27" s="82" t="s">
        <v>207</v>
      </c>
      <c r="K27" s="104">
        <f>'Form 2C.1 - Design'!K72</f>
        <v>0</v>
      </c>
      <c r="L27" s="28" t="s">
        <v>209</v>
      </c>
      <c r="O27" s="104">
        <f>'Form 2C.1 - Design'!O72</f>
        <v>0</v>
      </c>
      <c r="P27" s="28" t="s">
        <v>210</v>
      </c>
      <c r="S27" s="65"/>
      <c r="U27" s="62"/>
      <c r="V27" s="82" t="s">
        <v>207</v>
      </c>
      <c r="AD27" s="62"/>
      <c r="AE27" s="28" t="s">
        <v>209</v>
      </c>
      <c r="AH27" s="62"/>
      <c r="AI27" s="28" t="s">
        <v>210</v>
      </c>
      <c r="AM27" s="96">
        <f>IF(ISBLANK(U27),1,2)</f>
        <v>1</v>
      </c>
      <c r="AW27" s="4" t="s">
        <v>94</v>
      </c>
      <c r="AX27" s="86" t="s">
        <v>483</v>
      </c>
      <c r="AZ27" s="93"/>
      <c r="BA27" s="93"/>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CA27" s="27"/>
      <c r="CB27" s="27"/>
      <c r="CC27" s="27"/>
      <c r="CD27" s="27"/>
    </row>
    <row r="28" spans="2:82" ht="4.95" customHeight="1" x14ac:dyDescent="0.3">
      <c r="S28" s="65"/>
      <c r="CA28" s="27"/>
      <c r="CB28" s="27"/>
      <c r="CC28" s="27"/>
      <c r="CD28" s="27"/>
    </row>
    <row r="29" spans="2:82" ht="15" customHeight="1" x14ac:dyDescent="0.3">
      <c r="C29" s="104">
        <f>'Form 2C.1 - Design'!T72</f>
        <v>0</v>
      </c>
      <c r="D29" s="28" t="s">
        <v>317</v>
      </c>
      <c r="G29" s="104">
        <f>'Form 2C.1 - Design'!Y72</f>
        <v>0</v>
      </c>
      <c r="H29" s="28" t="s">
        <v>318</v>
      </c>
      <c r="M29" s="2" t="s">
        <v>212</v>
      </c>
      <c r="N29" s="235">
        <f>'Form 2C.1 - Design'!K76</f>
        <v>0</v>
      </c>
      <c r="O29" s="235"/>
      <c r="P29" s="235"/>
      <c r="Q29" s="235"/>
      <c r="R29" s="235"/>
      <c r="S29" s="65"/>
      <c r="V29" s="62"/>
      <c r="W29" s="28" t="s">
        <v>317</v>
      </c>
      <c r="Z29" s="62"/>
      <c r="AA29" s="28" t="s">
        <v>318</v>
      </c>
      <c r="AF29" s="2" t="s">
        <v>212</v>
      </c>
      <c r="AG29" s="182"/>
      <c r="AH29" s="182"/>
      <c r="AI29" s="182"/>
      <c r="AJ29" s="182"/>
      <c r="AK29" s="182"/>
      <c r="AM29" s="96">
        <f>IF(AND(ISBLANK(AD27),ISBLANK(AH27),ISBLANK(V29),ISBLANK(Z29),ISBLANK(V31)),1,2)</f>
        <v>1</v>
      </c>
      <c r="AX29" s="86" t="s">
        <v>283</v>
      </c>
      <c r="BA29" s="93"/>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CA29" s="27"/>
      <c r="CB29" s="27"/>
      <c r="CC29" s="27"/>
      <c r="CD29" s="27"/>
    </row>
    <row r="30" spans="2:82" ht="4.95" customHeight="1" x14ac:dyDescent="0.3">
      <c r="S30" s="65"/>
      <c r="CA30" s="27"/>
      <c r="CB30" s="27"/>
      <c r="CC30" s="27"/>
      <c r="CD30" s="27"/>
    </row>
    <row r="31" spans="2:82" ht="15" customHeight="1" x14ac:dyDescent="0.3">
      <c r="C31" s="104">
        <f>'Form 2C.1 - Design'!Y74</f>
        <v>0</v>
      </c>
      <c r="D31" s="28" t="s">
        <v>211</v>
      </c>
      <c r="G31" s="235">
        <f>'Form 2C.1 - Design'!AC74</f>
        <v>0</v>
      </c>
      <c r="H31" s="235"/>
      <c r="I31" s="235"/>
      <c r="J31" s="235"/>
      <c r="K31" s="235"/>
      <c r="L31" s="235"/>
      <c r="M31" s="235"/>
      <c r="N31" s="235"/>
      <c r="O31" s="235"/>
      <c r="P31" s="235"/>
      <c r="Q31" s="235"/>
      <c r="R31" s="235"/>
      <c r="S31" s="65"/>
      <c r="V31" s="62"/>
      <c r="W31" s="28" t="s">
        <v>211</v>
      </c>
      <c r="X31" s="2"/>
      <c r="Z31" s="182"/>
      <c r="AA31" s="182"/>
      <c r="AB31" s="182"/>
      <c r="AC31" s="182"/>
      <c r="AD31" s="182"/>
      <c r="AE31" s="182"/>
      <c r="AF31" s="182"/>
      <c r="AG31" s="182"/>
      <c r="AH31" s="182"/>
      <c r="AI31" s="182"/>
      <c r="AJ31" s="182"/>
      <c r="AK31" s="182"/>
      <c r="AM31" s="96">
        <f>IF(ISBLANK(V31),1,2)</f>
        <v>1</v>
      </c>
      <c r="AW31" s="4" t="s">
        <v>95</v>
      </c>
      <c r="AX31" s="76" t="s">
        <v>101</v>
      </c>
      <c r="CA31" s="27"/>
      <c r="CB31" s="27"/>
      <c r="CC31" s="27"/>
      <c r="CD31" s="27"/>
    </row>
    <row r="32" spans="2:82" ht="4.95" customHeight="1" x14ac:dyDescent="0.3">
      <c r="S32" s="65"/>
      <c r="CA32" s="27"/>
      <c r="CB32" s="27"/>
      <c r="CC32" s="27"/>
      <c r="CD32" s="27"/>
    </row>
    <row r="33" spans="2:82" ht="15" customHeight="1" x14ac:dyDescent="0.3">
      <c r="E33" s="2" t="s">
        <v>215</v>
      </c>
      <c r="F33" s="104">
        <f>'Form 2C.1 - Design'!H78</f>
        <v>0</v>
      </c>
      <c r="G33" s="28" t="s">
        <v>117</v>
      </c>
      <c r="H33" s="2"/>
      <c r="I33" s="104">
        <f>'Form 2C.1 - Design'!K78</f>
        <v>0</v>
      </c>
      <c r="J33" s="28" t="s">
        <v>118</v>
      </c>
      <c r="M33" s="2" t="s">
        <v>212</v>
      </c>
      <c r="N33" s="235">
        <f>'Form 2C.1 - Design'!P78</f>
        <v>0</v>
      </c>
      <c r="O33" s="235"/>
      <c r="P33" s="235"/>
      <c r="Q33" s="235"/>
      <c r="R33" s="235"/>
      <c r="S33" s="65"/>
      <c r="X33" s="2" t="s">
        <v>215</v>
      </c>
      <c r="Y33" s="62"/>
      <c r="Z33" s="28" t="s">
        <v>117</v>
      </c>
      <c r="AA33" s="2"/>
      <c r="AB33" s="62"/>
      <c r="AC33" s="28" t="s">
        <v>118</v>
      </c>
      <c r="AF33" s="2" t="s">
        <v>212</v>
      </c>
      <c r="AG33" s="182"/>
      <c r="AH33" s="182"/>
      <c r="AI33" s="182"/>
      <c r="AJ33" s="182"/>
      <c r="AK33" s="182"/>
      <c r="AM33" s="96">
        <f>IF(AND(ISBLANK(Y33),ISBLANK(AB33)),1,2)</f>
        <v>1</v>
      </c>
      <c r="AN33" s="96">
        <f>IF(ISBLANK(Y33),1,2)</f>
        <v>1</v>
      </c>
      <c r="AO33" s="22"/>
      <c r="AV33" s="28"/>
      <c r="AX33" s="93" t="s">
        <v>106</v>
      </c>
      <c r="AY33" s="76" t="s">
        <v>271</v>
      </c>
      <c r="AZ33" s="93"/>
      <c r="BA33" s="93"/>
      <c r="BB33" s="29"/>
      <c r="BC33" s="29"/>
      <c r="CA33" s="27"/>
      <c r="CB33" s="27"/>
      <c r="CC33" s="27"/>
      <c r="CD33" s="27"/>
    </row>
    <row r="34" spans="2:82" ht="4.95" customHeight="1" x14ac:dyDescent="0.3">
      <c r="E34" s="2"/>
      <c r="F34" s="2"/>
      <c r="G34" s="2"/>
      <c r="H34" s="2"/>
      <c r="I34" s="2"/>
      <c r="J34" s="2"/>
      <c r="S34" s="65"/>
      <c r="X34" s="2"/>
      <c r="Y34" s="2"/>
      <c r="Z34" s="2"/>
      <c r="AA34" s="2"/>
      <c r="AB34" s="2"/>
      <c r="AC34" s="2"/>
      <c r="CA34" s="27"/>
      <c r="CB34" s="27"/>
      <c r="CC34" s="27"/>
      <c r="CD34" s="27"/>
    </row>
    <row r="35" spans="2:82" ht="15" customHeight="1" x14ac:dyDescent="0.3">
      <c r="E35" s="2" t="s">
        <v>216</v>
      </c>
      <c r="F35" s="104">
        <f>'Form 2C.1 - Design'!H80</f>
        <v>0</v>
      </c>
      <c r="G35" s="28" t="s">
        <v>117</v>
      </c>
      <c r="I35" s="104">
        <f>'Form 2C.1 - Design'!K80</f>
        <v>0</v>
      </c>
      <c r="J35" s="28" t="s">
        <v>118</v>
      </c>
      <c r="M35" s="2" t="s">
        <v>212</v>
      </c>
      <c r="N35" s="235">
        <f>'Form 2C.1 - Design'!P80</f>
        <v>0</v>
      </c>
      <c r="O35" s="235"/>
      <c r="P35" s="235"/>
      <c r="Q35" s="235"/>
      <c r="R35" s="235"/>
      <c r="S35" s="65"/>
      <c r="X35" s="2" t="s">
        <v>216</v>
      </c>
      <c r="Y35" s="62"/>
      <c r="Z35" s="28" t="s">
        <v>117</v>
      </c>
      <c r="AB35" s="62"/>
      <c r="AC35" s="28" t="s">
        <v>118</v>
      </c>
      <c r="AF35" s="2" t="s">
        <v>212</v>
      </c>
      <c r="AG35" s="182"/>
      <c r="AH35" s="182"/>
      <c r="AI35" s="182"/>
      <c r="AJ35" s="182"/>
      <c r="AK35" s="182"/>
      <c r="AM35" s="96">
        <f>IF(AND(ISBLANK(Y35),ISBLANK(AB35)),1,2)</f>
        <v>1</v>
      </c>
      <c r="AN35" s="96">
        <f>IF(ISBLANK(Y35),1,2)</f>
        <v>1</v>
      </c>
      <c r="AO35" s="22"/>
      <c r="AX35" s="93" t="s">
        <v>106</v>
      </c>
      <c r="AY35" s="76" t="s">
        <v>124</v>
      </c>
      <c r="BD35"/>
      <c r="BE35"/>
      <c r="BF35"/>
      <c r="BG35"/>
      <c r="BH35"/>
      <c r="BI35"/>
      <c r="BJ35"/>
      <c r="BK35"/>
      <c r="BL35"/>
      <c r="BM35"/>
      <c r="BN35"/>
      <c r="BO35"/>
      <c r="BP35"/>
      <c r="BQ35"/>
      <c r="BR35"/>
      <c r="BS35"/>
      <c r="BT35"/>
      <c r="BU35"/>
      <c r="BV35"/>
      <c r="BW35"/>
      <c r="BX35"/>
      <c r="BY35"/>
      <c r="CA35" s="27"/>
      <c r="CB35" s="27"/>
      <c r="CC35" s="27"/>
      <c r="CD35" s="27"/>
    </row>
    <row r="36" spans="2:82" ht="4.95" customHeight="1" x14ac:dyDescent="0.3">
      <c r="S36" s="65"/>
      <c r="CA36" s="27"/>
      <c r="CB36" s="27"/>
      <c r="CC36" s="27"/>
      <c r="CD36" s="27"/>
    </row>
    <row r="37" spans="2:82" ht="15" customHeight="1" x14ac:dyDescent="0.3">
      <c r="B37" s="83" t="s">
        <v>232</v>
      </c>
      <c r="J37" s="4" t="s">
        <v>222</v>
      </c>
      <c r="N37" s="28" t="s">
        <v>223</v>
      </c>
      <c r="S37" s="65"/>
      <c r="U37" s="83" t="s">
        <v>232</v>
      </c>
      <c r="AC37" s="4" t="s">
        <v>222</v>
      </c>
      <c r="AG37" s="28" t="s">
        <v>223</v>
      </c>
      <c r="AV37" s="28"/>
      <c r="AX37" s="93" t="s">
        <v>106</v>
      </c>
      <c r="AY37" s="28" t="s">
        <v>169</v>
      </c>
      <c r="BA37" s="76"/>
      <c r="BB37"/>
      <c r="BC37"/>
      <c r="BD37"/>
      <c r="BE37"/>
      <c r="BF37"/>
      <c r="BG37"/>
      <c r="BH37"/>
      <c r="BI37"/>
      <c r="BJ37"/>
      <c r="BK37"/>
      <c r="BL37"/>
      <c r="BM37"/>
      <c r="BN37"/>
      <c r="BO37"/>
      <c r="BP37"/>
      <c r="BQ37"/>
      <c r="BR37"/>
      <c r="BS37"/>
      <c r="BT37"/>
      <c r="BU37"/>
      <c r="BV37"/>
      <c r="BW37"/>
      <c r="BX37"/>
      <c r="BY37"/>
      <c r="CA37" s="27"/>
      <c r="CB37" s="27"/>
      <c r="CC37" s="27"/>
      <c r="CD37" s="27"/>
    </row>
    <row r="38" spans="2:82" ht="15" customHeight="1" x14ac:dyDescent="0.3">
      <c r="H38" s="2" t="s">
        <v>217</v>
      </c>
      <c r="I38" s="246">
        <f>'Form 2C.1 - Design'!M83</f>
        <v>0</v>
      </c>
      <c r="J38" s="247"/>
      <c r="K38" s="247"/>
      <c r="L38" s="28" t="s">
        <v>39</v>
      </c>
      <c r="N38" s="246">
        <f>'Form 2C.1 - Design'!R83</f>
        <v>0</v>
      </c>
      <c r="O38" s="247"/>
      <c r="P38" s="247"/>
      <c r="Q38" s="28" t="s">
        <v>40</v>
      </c>
      <c r="S38" s="65"/>
      <c r="AA38" s="2" t="s">
        <v>217</v>
      </c>
      <c r="AB38" s="181"/>
      <c r="AC38" s="181"/>
      <c r="AD38" s="181"/>
      <c r="AE38" s="28" t="s">
        <v>39</v>
      </c>
      <c r="AG38" s="181"/>
      <c r="AH38" s="181"/>
      <c r="AI38" s="181"/>
      <c r="AJ38" s="28" t="s">
        <v>40</v>
      </c>
      <c r="AV38" s="28"/>
      <c r="AX38" s="93" t="s">
        <v>106</v>
      </c>
      <c r="AY38" s="28" t="str">
        <f>Tables!F24</f>
        <v xml:space="preserve"> O&amp;M Plan</v>
      </c>
      <c r="AZ38" s="76"/>
      <c r="BD38"/>
      <c r="BE38"/>
      <c r="BF38"/>
      <c r="BG38"/>
      <c r="BH38"/>
      <c r="BI38"/>
      <c r="BJ38"/>
      <c r="BK38"/>
      <c r="BL38"/>
      <c r="BM38"/>
      <c r="BN38"/>
      <c r="BO38"/>
      <c r="BP38"/>
      <c r="BQ38"/>
      <c r="BR38"/>
      <c r="BS38"/>
      <c r="BT38"/>
      <c r="BU38"/>
      <c r="BV38"/>
      <c r="BW38"/>
      <c r="BX38"/>
      <c r="BY38"/>
      <c r="CA38" s="27"/>
      <c r="CB38" s="27"/>
      <c r="CC38" s="27"/>
      <c r="CD38" s="27"/>
    </row>
    <row r="39" spans="2:82" ht="15" customHeight="1" x14ac:dyDescent="0.3">
      <c r="H39" s="2" t="s">
        <v>218</v>
      </c>
      <c r="I39" s="246">
        <f>'Form 2C.1 - Design'!M84</f>
        <v>0</v>
      </c>
      <c r="J39" s="247"/>
      <c r="K39" s="247"/>
      <c r="L39" s="28" t="s">
        <v>39</v>
      </c>
      <c r="N39" s="246">
        <f>'Form 2C.1 - Design'!R84</f>
        <v>0</v>
      </c>
      <c r="O39" s="247"/>
      <c r="P39" s="247"/>
      <c r="Q39" s="28" t="s">
        <v>40</v>
      </c>
      <c r="S39" s="65"/>
      <c r="AA39" s="2" t="s">
        <v>218</v>
      </c>
      <c r="AB39" s="179"/>
      <c r="AC39" s="179"/>
      <c r="AD39" s="179"/>
      <c r="AE39" s="28" t="s">
        <v>39</v>
      </c>
      <c r="AG39" s="179"/>
      <c r="AH39" s="179"/>
      <c r="AI39" s="179"/>
      <c r="AJ39" s="28" t="s">
        <v>40</v>
      </c>
      <c r="AV39" s="23">
        <v>4</v>
      </c>
      <c r="AW39" s="76" t="s">
        <v>91</v>
      </c>
      <c r="AZ39" s="76"/>
      <c r="BA39" s="76"/>
      <c r="BB39"/>
      <c r="BC39"/>
      <c r="BD39"/>
      <c r="BE39"/>
      <c r="BF39"/>
      <c r="BG39"/>
      <c r="BH39"/>
      <c r="BI39"/>
      <c r="BJ39"/>
      <c r="BK39"/>
      <c r="BL39"/>
      <c r="BM39"/>
      <c r="BN39"/>
      <c r="BO39"/>
      <c r="BP39"/>
      <c r="BQ39"/>
      <c r="BR39"/>
      <c r="BS39"/>
      <c r="BT39"/>
      <c r="BU39"/>
      <c r="BV39"/>
      <c r="BW39"/>
      <c r="BX39"/>
      <c r="BY39"/>
      <c r="CA39" s="27"/>
      <c r="CB39" s="27"/>
      <c r="CC39" s="27"/>
      <c r="CD39" s="27"/>
    </row>
    <row r="40" spans="2:82" ht="15" customHeight="1" x14ac:dyDescent="0.3">
      <c r="H40" s="2" t="s">
        <v>219</v>
      </c>
      <c r="I40" s="246">
        <f>'Form 2C.1 - Design'!M85</f>
        <v>0</v>
      </c>
      <c r="J40" s="247"/>
      <c r="K40" s="247"/>
      <c r="L40" s="28" t="s">
        <v>39</v>
      </c>
      <c r="N40" s="246">
        <f>'Form 2C.1 - Design'!R85</f>
        <v>0</v>
      </c>
      <c r="O40" s="247"/>
      <c r="P40" s="247"/>
      <c r="Q40" s="28" t="s">
        <v>40</v>
      </c>
      <c r="S40" s="65"/>
      <c r="AA40" s="2" t="s">
        <v>219</v>
      </c>
      <c r="AB40" s="179"/>
      <c r="AC40" s="179"/>
      <c r="AD40" s="179"/>
      <c r="AE40" s="28" t="s">
        <v>39</v>
      </c>
      <c r="AG40" s="179"/>
      <c r="AH40" s="179"/>
      <c r="AI40" s="179"/>
      <c r="AJ40" s="28" t="s">
        <v>40</v>
      </c>
      <c r="AV40" s="28"/>
      <c r="AW40" s="4" t="s">
        <v>94</v>
      </c>
      <c r="AX40" s="28" t="s">
        <v>416</v>
      </c>
      <c r="AZ40" s="76"/>
      <c r="BA40" s="76"/>
      <c r="BB40"/>
      <c r="BC40"/>
      <c r="BD40"/>
      <c r="BE40"/>
      <c r="BF40"/>
      <c r="BG40"/>
      <c r="BH40"/>
      <c r="BI40"/>
      <c r="BJ40"/>
      <c r="BK40"/>
      <c r="BL40"/>
      <c r="BM40"/>
      <c r="BN40"/>
      <c r="BO40"/>
      <c r="BP40"/>
      <c r="BQ40"/>
      <c r="BR40"/>
      <c r="BS40"/>
      <c r="BT40"/>
      <c r="BU40"/>
      <c r="BV40"/>
      <c r="BW40"/>
      <c r="BX40"/>
      <c r="BY40"/>
      <c r="CA40" s="27"/>
      <c r="CB40" s="27"/>
      <c r="CC40" s="27"/>
      <c r="CD40" s="27"/>
    </row>
    <row r="41" spans="2:82" ht="15" customHeight="1" x14ac:dyDescent="0.3">
      <c r="H41" s="2" t="s">
        <v>220</v>
      </c>
      <c r="I41" s="246">
        <f>'Form 2C.1 - Design'!M86</f>
        <v>0</v>
      </c>
      <c r="J41" s="247"/>
      <c r="K41" s="247"/>
      <c r="L41" s="28" t="s">
        <v>39</v>
      </c>
      <c r="N41" s="246">
        <f>'Form 2C.1 - Design'!R86</f>
        <v>0</v>
      </c>
      <c r="O41" s="247"/>
      <c r="P41" s="247"/>
      <c r="Q41" s="28" t="s">
        <v>40</v>
      </c>
      <c r="S41" s="65"/>
      <c r="AA41" s="2" t="s">
        <v>220</v>
      </c>
      <c r="AB41" s="179"/>
      <c r="AC41" s="179"/>
      <c r="AD41" s="179"/>
      <c r="AE41" s="28" t="s">
        <v>39</v>
      </c>
      <c r="AG41" s="179"/>
      <c r="AH41" s="179"/>
      <c r="AI41" s="179"/>
      <c r="AJ41" s="28" t="s">
        <v>40</v>
      </c>
      <c r="AW41" s="4" t="s">
        <v>95</v>
      </c>
      <c r="AX41" s="28" t="s">
        <v>332</v>
      </c>
      <c r="AZ41" s="76"/>
      <c r="BA41" s="76"/>
      <c r="BB41"/>
      <c r="BC41"/>
      <c r="CA41" s="27"/>
      <c r="CB41" s="27"/>
      <c r="CC41" s="27"/>
      <c r="CD41" s="27"/>
    </row>
    <row r="42" spans="2:82" ht="15" customHeight="1" x14ac:dyDescent="0.3">
      <c r="H42" s="2" t="s">
        <v>221</v>
      </c>
      <c r="I42" s="246">
        <f>'Form 2C.1 - Design'!M87</f>
        <v>0</v>
      </c>
      <c r="J42" s="247"/>
      <c r="K42" s="247"/>
      <c r="L42" s="28" t="s">
        <v>39</v>
      </c>
      <c r="N42" s="246">
        <f>'Form 2C.1 - Design'!R87</f>
        <v>0</v>
      </c>
      <c r="O42" s="247"/>
      <c r="P42" s="247"/>
      <c r="Q42" s="28" t="s">
        <v>40</v>
      </c>
      <c r="S42" s="65"/>
      <c r="AA42" s="2" t="s">
        <v>221</v>
      </c>
      <c r="AB42" s="179"/>
      <c r="AC42" s="179"/>
      <c r="AD42" s="179"/>
      <c r="AE42" s="28" t="s">
        <v>39</v>
      </c>
      <c r="AG42" s="179"/>
      <c r="AH42" s="179"/>
      <c r="AI42" s="179"/>
      <c r="AJ42" s="28" t="s">
        <v>40</v>
      </c>
      <c r="AW42" s="4" t="s">
        <v>104</v>
      </c>
      <c r="AX42" s="76" t="s">
        <v>248</v>
      </c>
      <c r="AY42" s="76"/>
      <c r="AZ42" s="76"/>
      <c r="BA42" s="76"/>
      <c r="BB42"/>
      <c r="BC42"/>
      <c r="BD42"/>
      <c r="BE42"/>
      <c r="BF42"/>
      <c r="BG42"/>
      <c r="BH42"/>
      <c r="BI42"/>
      <c r="BJ42"/>
      <c r="BK42"/>
      <c r="BL42"/>
      <c r="BM42"/>
      <c r="BN42"/>
      <c r="BO42"/>
      <c r="BP42"/>
      <c r="BQ42"/>
      <c r="BR42"/>
      <c r="BS42"/>
      <c r="BT42"/>
      <c r="BU42"/>
      <c r="BV42"/>
      <c r="BW42"/>
      <c r="BX42"/>
      <c r="BY42"/>
      <c r="BZ42"/>
      <c r="CA42" s="27"/>
      <c r="CB42" s="27"/>
      <c r="CC42" s="27"/>
      <c r="CD42" s="27"/>
    </row>
    <row r="43" spans="2:82" ht="15" customHeight="1" x14ac:dyDescent="0.3">
      <c r="B43" s="83" t="s">
        <v>231</v>
      </c>
      <c r="I43" s="250" t="s">
        <v>235</v>
      </c>
      <c r="J43" s="250"/>
      <c r="K43" s="250"/>
      <c r="N43" s="250" t="s">
        <v>236</v>
      </c>
      <c r="O43" s="250"/>
      <c r="P43" s="250"/>
      <c r="Q43" s="1"/>
      <c r="S43" s="65"/>
      <c r="U43" s="83" t="s">
        <v>231</v>
      </c>
      <c r="AB43" s="250" t="s">
        <v>235</v>
      </c>
      <c r="AC43" s="250"/>
      <c r="AD43" s="250"/>
      <c r="AG43" s="250" t="s">
        <v>236</v>
      </c>
      <c r="AH43" s="250"/>
      <c r="AI43" s="250"/>
      <c r="AW43" s="4" t="s">
        <v>105</v>
      </c>
      <c r="AX43" s="76" t="s">
        <v>98</v>
      </c>
      <c r="AY43" s="76"/>
      <c r="AZ43" s="76"/>
      <c r="BA43" s="76"/>
      <c r="BB43"/>
      <c r="BC43"/>
      <c r="BZ43" s="27"/>
      <c r="CA43" s="27"/>
      <c r="CB43" s="27"/>
      <c r="CC43" s="27"/>
      <c r="CD43" s="27"/>
    </row>
    <row r="44" spans="2:82" ht="15" customHeight="1" x14ac:dyDescent="0.3">
      <c r="G44" s="2" t="s">
        <v>239</v>
      </c>
      <c r="I44" s="256">
        <f>'Form 2C.1 - Design'!M90</f>
        <v>0</v>
      </c>
      <c r="J44" s="256"/>
      <c r="K44" s="256"/>
      <c r="L44" s="28" t="s">
        <v>227</v>
      </c>
      <c r="N44" s="256">
        <f>'Form 2C.1 - Design'!M91</f>
        <v>0</v>
      </c>
      <c r="O44" s="256"/>
      <c r="P44" s="256"/>
      <c r="Q44" s="28" t="s">
        <v>227</v>
      </c>
      <c r="S44" s="65"/>
      <c r="Z44" s="2" t="s">
        <v>239</v>
      </c>
      <c r="AB44" s="178"/>
      <c r="AC44" s="178"/>
      <c r="AD44" s="178"/>
      <c r="AE44" s="28" t="s">
        <v>227</v>
      </c>
      <c r="AG44" s="178"/>
      <c r="AH44" s="178"/>
      <c r="AI44" s="178"/>
      <c r="AJ44" s="28" t="s">
        <v>227</v>
      </c>
      <c r="AW44" s="4" t="s">
        <v>103</v>
      </c>
      <c r="AX44" s="76" t="s">
        <v>99</v>
      </c>
      <c r="AY44" s="76"/>
      <c r="BA44" s="76"/>
      <c r="BB44"/>
      <c r="BC44"/>
      <c r="BZ44"/>
      <c r="CA44" s="27"/>
      <c r="CB44" s="27"/>
      <c r="CC44" s="27"/>
      <c r="CD44" s="27"/>
    </row>
    <row r="45" spans="2:82" ht="15" customHeight="1" x14ac:dyDescent="0.3">
      <c r="G45" s="2" t="s">
        <v>328</v>
      </c>
      <c r="I45" s="206">
        <f>'Form 2C.1 - Design'!R90</f>
        <v>0</v>
      </c>
      <c r="J45" s="206"/>
      <c r="K45" s="206"/>
      <c r="L45" s="28" t="s">
        <v>40</v>
      </c>
      <c r="N45" s="206">
        <f>'Form 2C.1 - Design'!R91</f>
        <v>0</v>
      </c>
      <c r="O45" s="206"/>
      <c r="P45" s="206"/>
      <c r="Q45" s="28" t="s">
        <v>40</v>
      </c>
      <c r="S45" s="65"/>
      <c r="Z45" s="2" t="s">
        <v>328</v>
      </c>
      <c r="AB45" s="187"/>
      <c r="AC45" s="187"/>
      <c r="AD45" s="187"/>
      <c r="AE45" s="28" t="s">
        <v>40</v>
      </c>
      <c r="AG45" s="187"/>
      <c r="AH45" s="187"/>
      <c r="AI45" s="187"/>
      <c r="AJ45" s="28" t="s">
        <v>40</v>
      </c>
      <c r="AW45" s="4" t="s">
        <v>330</v>
      </c>
      <c r="AX45" s="76" t="s">
        <v>415</v>
      </c>
      <c r="AY45" s="76"/>
      <c r="CA45" s="27"/>
      <c r="CB45" s="27"/>
      <c r="CC45" s="27"/>
      <c r="CD45" s="27"/>
    </row>
    <row r="46" spans="2:82" ht="15" customHeight="1" x14ac:dyDescent="0.3">
      <c r="G46" s="2" t="s">
        <v>329</v>
      </c>
      <c r="I46" s="206">
        <f>'Form 2C.1 - Design'!W90</f>
        <v>0</v>
      </c>
      <c r="J46" s="206"/>
      <c r="K46" s="206"/>
      <c r="L46" s="28" t="s">
        <v>213</v>
      </c>
      <c r="N46" s="206">
        <f>'Form 2C.1 - Design'!W91</f>
        <v>0</v>
      </c>
      <c r="O46" s="206"/>
      <c r="P46" s="206"/>
      <c r="Q46" s="28" t="s">
        <v>213</v>
      </c>
      <c r="S46" s="65"/>
      <c r="Z46" s="2" t="s">
        <v>329</v>
      </c>
      <c r="AB46" s="187"/>
      <c r="AC46" s="187"/>
      <c r="AD46" s="187"/>
      <c r="AE46" s="28" t="s">
        <v>213</v>
      </c>
      <c r="AG46" s="187"/>
      <c r="AH46" s="187"/>
      <c r="AI46" s="187"/>
      <c r="AJ46" s="28" t="s">
        <v>213</v>
      </c>
      <c r="AW46" s="4" t="s">
        <v>331</v>
      </c>
      <c r="AX46" s="76" t="s">
        <v>249</v>
      </c>
      <c r="AY46" s="76"/>
      <c r="CA46" s="27"/>
      <c r="CB46" s="27"/>
      <c r="CC46" s="27"/>
      <c r="CD46" s="27"/>
    </row>
    <row r="47" spans="2:82" ht="15" customHeight="1" x14ac:dyDescent="0.3">
      <c r="G47" s="2" t="s">
        <v>240</v>
      </c>
      <c r="I47" s="243">
        <f>'Form 2C.1 - Design'!AB90</f>
        <v>0</v>
      </c>
      <c r="J47" s="243"/>
      <c r="K47" s="243"/>
      <c r="L47" s="28" t="s">
        <v>40</v>
      </c>
      <c r="N47" s="243">
        <f>'Form 2C.1 - Design'!AB91</f>
        <v>0</v>
      </c>
      <c r="O47" s="243"/>
      <c r="P47" s="243"/>
      <c r="Q47" s="28" t="s">
        <v>40</v>
      </c>
      <c r="S47" s="65"/>
      <c r="Z47" s="2" t="s">
        <v>240</v>
      </c>
      <c r="AB47" s="179"/>
      <c r="AC47" s="179"/>
      <c r="AD47" s="179"/>
      <c r="AE47" s="28" t="s">
        <v>40</v>
      </c>
      <c r="AG47" s="179"/>
      <c r="AH47" s="179"/>
      <c r="AI47" s="179"/>
      <c r="AJ47" s="28" t="s">
        <v>40</v>
      </c>
      <c r="AV47" s="23">
        <v>5</v>
      </c>
      <c r="AW47" s="76" t="str">
        <f>"Form 3C – Underground Detention Pond As-built Certification Form shall be approved by the "&amp;Tables!F23&amp;" prior to:"</f>
        <v>Form 3C – Underground Detention Pond As-built Certification Form shall be approved by the County prior to:</v>
      </c>
      <c r="AY47" s="76"/>
      <c r="CA47" s="27"/>
      <c r="CB47" s="27"/>
      <c r="CC47" s="27"/>
      <c r="CD47" s="27"/>
    </row>
    <row r="48" spans="2:82" ht="15" customHeight="1" x14ac:dyDescent="0.3">
      <c r="K48" s="2" t="s">
        <v>327</v>
      </c>
      <c r="L48" s="252">
        <f>'Form 2C.1 - Design'!W92</f>
        <v>0</v>
      </c>
      <c r="M48" s="252"/>
      <c r="N48" s="206"/>
      <c r="O48" s="28" t="s">
        <v>213</v>
      </c>
      <c r="P48" s="32"/>
      <c r="Q48" s="2"/>
      <c r="R48" s="2"/>
      <c r="S48" s="84"/>
      <c r="Z48" s="2"/>
      <c r="AA48" s="2"/>
      <c r="AB48" s="2"/>
      <c r="AC48" s="2"/>
      <c r="AD48" s="2" t="s">
        <v>327</v>
      </c>
      <c r="AE48" s="189"/>
      <c r="AF48" s="189"/>
      <c r="AG48" s="187"/>
      <c r="AH48" s="28" t="s">
        <v>213</v>
      </c>
      <c r="AW48" s="4" t="s">
        <v>94</v>
      </c>
      <c r="AX48" s="76" t="s">
        <v>102</v>
      </c>
      <c r="CA48" s="27"/>
      <c r="CB48" s="27"/>
      <c r="CC48" s="27"/>
      <c r="CD48" s="27"/>
    </row>
    <row r="49" spans="2:82" ht="15" customHeight="1" x14ac:dyDescent="0.3">
      <c r="K49" s="2" t="s">
        <v>325</v>
      </c>
      <c r="L49" s="206">
        <f>'Form 2C.1 - Design'!W93</f>
        <v>0</v>
      </c>
      <c r="M49" s="206"/>
      <c r="N49" s="206"/>
      <c r="O49" s="28" t="s">
        <v>213</v>
      </c>
      <c r="S49" s="65"/>
      <c r="AD49" s="2" t="s">
        <v>325</v>
      </c>
      <c r="AE49" s="206">
        <f>SUM(AA46,AB46,AG46,AE48)</f>
        <v>0</v>
      </c>
      <c r="AF49" s="206"/>
      <c r="AG49" s="206"/>
      <c r="AH49" s="28" t="s">
        <v>213</v>
      </c>
      <c r="AW49" s="4" t="s">
        <v>95</v>
      </c>
      <c r="AX49" s="76" t="s">
        <v>100</v>
      </c>
      <c r="CA49" s="27"/>
      <c r="CB49" s="27"/>
      <c r="CC49" s="27"/>
      <c r="CD49" s="27"/>
    </row>
    <row r="50" spans="2:82" ht="15" customHeight="1" x14ac:dyDescent="0.3">
      <c r="AK50" s="33"/>
      <c r="CA50" s="27"/>
      <c r="CB50" s="27"/>
      <c r="CC50" s="27"/>
      <c r="CD50" s="27"/>
    </row>
    <row r="51" spans="2:82" ht="15" customHeight="1" x14ac:dyDescent="0.3">
      <c r="AK51" s="33"/>
      <c r="CA51" s="27"/>
      <c r="CB51" s="27"/>
      <c r="CC51" s="27"/>
      <c r="CD51" s="27"/>
    </row>
    <row r="52" spans="2:82" ht="15" customHeight="1" x14ac:dyDescent="0.3">
      <c r="AK52" s="33"/>
      <c r="CA52" s="27"/>
      <c r="CB52" s="27"/>
      <c r="CC52" s="27"/>
      <c r="CD52" s="27"/>
    </row>
    <row r="53" spans="2:82" ht="15" customHeight="1" x14ac:dyDescent="0.3">
      <c r="AK53" s="33"/>
      <c r="CA53" s="27"/>
      <c r="CB53" s="27"/>
      <c r="CC53" s="27"/>
      <c r="CD53" s="27"/>
    </row>
    <row r="54" spans="2:82" ht="15" customHeight="1" x14ac:dyDescent="0.3">
      <c r="AK54" s="33"/>
      <c r="CA54" s="27"/>
      <c r="CB54" s="27"/>
      <c r="CC54" s="27"/>
      <c r="CD54" s="27"/>
    </row>
    <row r="55" spans="2:82" ht="15" customHeight="1" x14ac:dyDescent="0.3">
      <c r="AK55" s="33"/>
      <c r="CA55" s="27"/>
      <c r="CB55" s="27"/>
      <c r="CC55" s="27"/>
      <c r="CD55" s="27"/>
    </row>
    <row r="56" spans="2:82" ht="15" customHeight="1" x14ac:dyDescent="0.3">
      <c r="B56" s="198">
        <f>Tables!$F$13</f>
        <v>45931</v>
      </c>
      <c r="C56" s="198"/>
      <c r="D56" s="198"/>
      <c r="E56" s="198"/>
      <c r="F56" s="198"/>
      <c r="G56" s="198"/>
      <c r="H56" s="198"/>
      <c r="R56" s="188" t="s">
        <v>310</v>
      </c>
      <c r="S56" s="188"/>
      <c r="T56" s="188"/>
      <c r="U56" s="188"/>
      <c r="AK56" s="33"/>
      <c r="CA56" s="27"/>
      <c r="CB56" s="27"/>
      <c r="CC56" s="27"/>
      <c r="CD56" s="27"/>
    </row>
    <row r="57" spans="2:82" ht="15" customHeight="1" x14ac:dyDescent="0.3">
      <c r="C57" s="2" t="s">
        <v>1</v>
      </c>
      <c r="D57" s="199">
        <f>IF(ISBLANK($E$7),"",$E$7)</f>
        <v>0</v>
      </c>
      <c r="E57" s="199"/>
      <c r="F57" s="199"/>
      <c r="G57" s="199"/>
      <c r="H57" s="199"/>
      <c r="I57" s="199"/>
      <c r="J57" s="199"/>
      <c r="K57" s="199"/>
      <c r="L57" s="199"/>
      <c r="M57" s="199"/>
      <c r="N57" s="199"/>
      <c r="O57" s="199"/>
      <c r="P57" s="199"/>
      <c r="Q57" s="199"/>
      <c r="R57" s="199"/>
      <c r="S57" s="199"/>
      <c r="T57" s="199"/>
      <c r="U57" s="199"/>
      <c r="V57" s="199"/>
      <c r="W57" s="199"/>
      <c r="X57" s="199"/>
      <c r="Y57" s="199"/>
      <c r="Z57" s="199"/>
      <c r="AA57" s="39"/>
      <c r="AB57" s="39"/>
      <c r="AC57" s="39"/>
      <c r="AF57" s="2" t="s">
        <v>19</v>
      </c>
      <c r="AG57" s="197">
        <f>AF7</f>
        <v>0</v>
      </c>
      <c r="AH57" s="197"/>
      <c r="AI57" s="197"/>
      <c r="AJ57" s="197"/>
      <c r="AK57" s="197"/>
      <c r="CA57" s="27"/>
      <c r="CB57" s="27"/>
      <c r="CC57" s="27"/>
      <c r="CD57" s="27"/>
    </row>
    <row r="58" spans="2:82" ht="15" customHeight="1" x14ac:dyDescent="0.3">
      <c r="H58" s="40"/>
      <c r="I58" s="40"/>
      <c r="J58" s="2"/>
      <c r="K58" s="2"/>
      <c r="L58" s="2"/>
      <c r="M58" s="40"/>
      <c r="N58" s="39"/>
      <c r="O58" s="39"/>
      <c r="P58" s="39"/>
      <c r="Q58" s="39"/>
      <c r="R58" s="39"/>
      <c r="S58" s="39"/>
      <c r="T58" s="39"/>
      <c r="U58" s="39"/>
      <c r="V58" s="39"/>
      <c r="W58" s="39"/>
      <c r="X58" s="39"/>
      <c r="Y58" s="39"/>
      <c r="Z58" s="39"/>
      <c r="AA58" s="39"/>
      <c r="AB58" s="39"/>
      <c r="AC58" s="39"/>
      <c r="AF58" s="2" t="s">
        <v>32</v>
      </c>
      <c r="AG58" s="196">
        <f>IF(ISBLANK($AF$8),"",$AF$8)</f>
        <v>0</v>
      </c>
      <c r="AH58" s="196"/>
      <c r="AI58" s="196"/>
      <c r="AJ58" s="196"/>
      <c r="AK58" s="196"/>
      <c r="BZ58" s="27"/>
      <c r="CA58" s="27"/>
      <c r="CB58" s="27"/>
      <c r="CC58" s="27"/>
      <c r="CD58" s="27"/>
    </row>
    <row r="59" spans="2:82" ht="15" customHeight="1" x14ac:dyDescent="0.3">
      <c r="B59" s="188" t="s">
        <v>313</v>
      </c>
      <c r="C59" s="188"/>
      <c r="D59" s="188"/>
      <c r="E59" s="188"/>
      <c r="F59" s="188"/>
      <c r="G59" s="188"/>
      <c r="H59" s="188"/>
      <c r="I59" s="40"/>
      <c r="K59" s="248" t="s">
        <v>393</v>
      </c>
      <c r="L59" s="188"/>
      <c r="M59" s="188"/>
      <c r="N59" s="188"/>
      <c r="O59" s="188"/>
      <c r="P59" s="188"/>
      <c r="Q59" s="188"/>
      <c r="R59" s="188"/>
      <c r="S59" s="39"/>
      <c r="T59" s="65"/>
      <c r="U59" s="39"/>
      <c r="V59" s="188" t="s">
        <v>313</v>
      </c>
      <c r="W59" s="188"/>
      <c r="X59" s="188"/>
      <c r="Y59" s="188"/>
      <c r="Z59" s="188"/>
      <c r="AA59" s="188"/>
      <c r="AB59" s="188"/>
      <c r="AC59" s="40"/>
      <c r="AD59" s="248" t="s">
        <v>393</v>
      </c>
      <c r="AE59" s="188"/>
      <c r="AF59" s="188"/>
      <c r="AG59" s="188"/>
      <c r="AH59" s="188"/>
      <c r="AI59" s="188"/>
      <c r="AJ59" s="188"/>
      <c r="AK59" s="188"/>
      <c r="AM59" s="13" t="s">
        <v>394</v>
      </c>
      <c r="AN59" s="96">
        <f>'Form 2C.1 - Design'!O94</f>
        <v>0</v>
      </c>
      <c r="AO59" s="22"/>
      <c r="CA59" s="27"/>
      <c r="CB59" s="27"/>
      <c r="CC59" s="27"/>
      <c r="CD59" s="27"/>
    </row>
    <row r="60" spans="2:82" ht="15" customHeight="1" x14ac:dyDescent="0.3">
      <c r="C60" s="28" t="s">
        <v>389</v>
      </c>
      <c r="E60" s="28" t="s">
        <v>390</v>
      </c>
      <c r="H60" s="40"/>
      <c r="I60" s="40"/>
      <c r="K60" s="188" t="s">
        <v>38</v>
      </c>
      <c r="L60" s="188"/>
      <c r="M60" s="188"/>
      <c r="O60" s="39"/>
      <c r="P60" s="39" t="s">
        <v>228</v>
      </c>
      <c r="Q60" s="39"/>
      <c r="R60" s="39"/>
      <c r="S60" s="39"/>
      <c r="T60" s="65"/>
      <c r="U60" s="39"/>
      <c r="W60" s="28" t="s">
        <v>389</v>
      </c>
      <c r="Y60" s="28" t="s">
        <v>390</v>
      </c>
      <c r="AB60" s="40"/>
      <c r="AC60" s="40"/>
      <c r="AD60" s="188" t="s">
        <v>38</v>
      </c>
      <c r="AE60" s="188"/>
      <c r="AF60" s="188"/>
      <c r="AH60" s="39"/>
      <c r="AI60" s="39" t="s">
        <v>228</v>
      </c>
      <c r="AJ60" s="39"/>
      <c r="AK60" s="39"/>
      <c r="CA60" s="27"/>
      <c r="CB60" s="27"/>
      <c r="CC60" s="27"/>
      <c r="CD60" s="27"/>
    </row>
    <row r="61" spans="2:82" ht="15" customHeight="1" x14ac:dyDescent="0.3">
      <c r="B61" s="240">
        <f>'Form 2C.1 - Design'!K96</f>
        <v>0</v>
      </c>
      <c r="C61" s="240"/>
      <c r="D61" s="240"/>
      <c r="F61" s="246">
        <f>'Form 2C.1 - Design'!O96</f>
        <v>0</v>
      </c>
      <c r="G61" s="246"/>
      <c r="H61" s="12" t="s">
        <v>39</v>
      </c>
      <c r="K61" s="246">
        <f>'Form 2C.1 - Design'!Y96</f>
        <v>0</v>
      </c>
      <c r="L61" s="247"/>
      <c r="M61" s="247"/>
      <c r="N61" s="28" t="s">
        <v>40</v>
      </c>
      <c r="O61" s="39"/>
      <c r="P61" s="246">
        <f>'Form 2C.1 - Design'!T96</f>
        <v>0</v>
      </c>
      <c r="Q61" s="246"/>
      <c r="R61" s="39" t="s">
        <v>39</v>
      </c>
      <c r="S61" s="39"/>
      <c r="T61" s="65"/>
      <c r="U61" s="39"/>
      <c r="V61" s="186"/>
      <c r="W61" s="186"/>
      <c r="X61" s="186"/>
      <c r="Z61" s="181"/>
      <c r="AA61" s="181"/>
      <c r="AB61" s="12" t="s">
        <v>39</v>
      </c>
      <c r="AD61" s="181"/>
      <c r="AE61" s="181"/>
      <c r="AF61" s="181"/>
      <c r="AG61" s="28" t="s">
        <v>40</v>
      </c>
      <c r="AH61" s="39"/>
      <c r="AI61" s="181"/>
      <c r="AJ61" s="181"/>
      <c r="AK61" s="39" t="s">
        <v>39</v>
      </c>
      <c r="AM61" s="96">
        <v>1</v>
      </c>
      <c r="AN61" s="96">
        <f>IF(AM61&lt;=$AN$59,2,1)</f>
        <v>1</v>
      </c>
      <c r="AO61" s="22"/>
      <c r="CA61" s="27"/>
      <c r="CB61" s="27"/>
      <c r="CC61" s="27"/>
      <c r="CD61" s="27"/>
    </row>
    <row r="62" spans="2:82" ht="15" customHeight="1" x14ac:dyDescent="0.3">
      <c r="B62" s="242">
        <f>'Form 2C.1 - Design'!K100</f>
        <v>0</v>
      </c>
      <c r="C62" s="242"/>
      <c r="D62" s="242"/>
      <c r="F62" s="243">
        <f>'Form 2C.1 - Design'!O100</f>
        <v>0</v>
      </c>
      <c r="G62" s="243"/>
      <c r="H62" s="12" t="s">
        <v>39</v>
      </c>
      <c r="K62" s="243">
        <f>'Form 2C.1 - Design'!Y100</f>
        <v>0</v>
      </c>
      <c r="L62" s="244"/>
      <c r="M62" s="244"/>
      <c r="N62" s="28" t="s">
        <v>40</v>
      </c>
      <c r="O62" s="39"/>
      <c r="P62" s="243">
        <f>'Form 2C.1 - Design'!O100</f>
        <v>0</v>
      </c>
      <c r="Q62" s="243"/>
      <c r="R62" s="39" t="s">
        <v>39</v>
      </c>
      <c r="S62" s="39"/>
      <c r="T62" s="65"/>
      <c r="U62" s="39"/>
      <c r="V62" s="201"/>
      <c r="W62" s="201"/>
      <c r="X62" s="201"/>
      <c r="Z62" s="179"/>
      <c r="AA62" s="179"/>
      <c r="AB62" s="12" t="s">
        <v>39</v>
      </c>
      <c r="AD62" s="179"/>
      <c r="AE62" s="179"/>
      <c r="AF62" s="179"/>
      <c r="AG62" s="28" t="s">
        <v>40</v>
      </c>
      <c r="AH62" s="39"/>
      <c r="AI62" s="179"/>
      <c r="AJ62" s="179"/>
      <c r="AK62" s="39" t="s">
        <v>39</v>
      </c>
      <c r="AM62" s="96">
        <v>2</v>
      </c>
      <c r="AN62" s="96">
        <f>IF(AM62&lt;=$AN$59,2,1)</f>
        <v>1</v>
      </c>
      <c r="AO62" s="22"/>
      <c r="CA62" s="27"/>
      <c r="CB62" s="27"/>
      <c r="CC62" s="27"/>
      <c r="CD62" s="27"/>
    </row>
    <row r="63" spans="2:82" ht="15" customHeight="1" x14ac:dyDescent="0.3">
      <c r="B63" s="242">
        <f>'Form 2C.1 - Design'!K104</f>
        <v>0</v>
      </c>
      <c r="C63" s="242"/>
      <c r="D63" s="242"/>
      <c r="F63" s="243">
        <f>'Form 2C.1 - Design'!O104</f>
        <v>0</v>
      </c>
      <c r="G63" s="243"/>
      <c r="H63" s="12" t="s">
        <v>39</v>
      </c>
      <c r="K63" s="243">
        <f>'Form 2C.1 - Design'!Y104</f>
        <v>0</v>
      </c>
      <c r="L63" s="244"/>
      <c r="M63" s="244"/>
      <c r="N63" s="28" t="s">
        <v>40</v>
      </c>
      <c r="O63" s="39"/>
      <c r="P63" s="243">
        <f>'Form 2C.1 - Design'!T104</f>
        <v>0</v>
      </c>
      <c r="Q63" s="243"/>
      <c r="R63" s="39" t="s">
        <v>39</v>
      </c>
      <c r="S63" s="39"/>
      <c r="T63" s="65"/>
      <c r="U63" s="39"/>
      <c r="V63" s="201"/>
      <c r="W63" s="201"/>
      <c r="X63" s="201"/>
      <c r="Z63" s="179"/>
      <c r="AA63" s="179"/>
      <c r="AB63" s="12" t="s">
        <v>39</v>
      </c>
      <c r="AD63" s="179"/>
      <c r="AE63" s="179"/>
      <c r="AF63" s="179"/>
      <c r="AG63" s="28" t="s">
        <v>40</v>
      </c>
      <c r="AH63" s="39"/>
      <c r="AI63" s="179"/>
      <c r="AJ63" s="179"/>
      <c r="AK63" s="39" t="s">
        <v>39</v>
      </c>
      <c r="AM63" s="96">
        <v>3</v>
      </c>
      <c r="AN63" s="96">
        <f>IF(AM63&lt;=$AN$59,2,1)</f>
        <v>1</v>
      </c>
      <c r="AO63" s="22"/>
      <c r="CA63" s="27"/>
      <c r="CB63" s="27"/>
      <c r="CC63" s="27"/>
      <c r="CD63" s="27"/>
    </row>
    <row r="64" spans="2:82" ht="4.95" customHeight="1" x14ac:dyDescent="0.3">
      <c r="H64" s="40"/>
      <c r="I64" s="40"/>
      <c r="J64" s="2"/>
      <c r="K64" s="2"/>
      <c r="L64" s="2"/>
      <c r="M64" s="40"/>
      <c r="N64" s="39"/>
      <c r="O64" s="39"/>
      <c r="P64" s="39"/>
      <c r="Q64" s="39"/>
      <c r="R64" s="39"/>
      <c r="S64" s="39"/>
      <c r="T64" s="65"/>
      <c r="U64" s="39"/>
      <c r="V64" s="39"/>
      <c r="W64" s="39"/>
      <c r="X64" s="39"/>
      <c r="Y64" s="39"/>
      <c r="Z64" s="39"/>
      <c r="AA64" s="39"/>
      <c r="AB64" s="39"/>
      <c r="AC64" s="39"/>
      <c r="CA64" s="27"/>
      <c r="CB64" s="27"/>
      <c r="CC64" s="27"/>
      <c r="CD64" s="27"/>
    </row>
    <row r="65" spans="1:84" ht="15" customHeight="1" x14ac:dyDescent="0.3">
      <c r="B65" s="83" t="s">
        <v>229</v>
      </c>
      <c r="J65" s="104">
        <f>'Form 2C.1 - Design'!I113</f>
        <v>0</v>
      </c>
      <c r="K65" s="28" t="s">
        <v>305</v>
      </c>
      <c r="O65" s="2" t="s">
        <v>160</v>
      </c>
      <c r="P65" s="246">
        <f>'Form 2C.1 - Design'!T113</f>
        <v>0</v>
      </c>
      <c r="Q65" s="247"/>
      <c r="R65" s="28" t="s">
        <v>39</v>
      </c>
      <c r="T65" s="65"/>
      <c r="V65" s="83" t="s">
        <v>229</v>
      </c>
      <c r="AC65" s="62"/>
      <c r="AD65" s="28" t="s">
        <v>305</v>
      </c>
      <c r="AH65" s="2" t="s">
        <v>160</v>
      </c>
      <c r="AI65" s="181"/>
      <c r="AJ65" s="181"/>
      <c r="AK65" s="28" t="s">
        <v>39</v>
      </c>
      <c r="AM65" s="96">
        <f>IF(ISBLANK(AC65),1,2)</f>
        <v>1</v>
      </c>
      <c r="CA65" s="27"/>
      <c r="CB65" s="27"/>
      <c r="CC65" s="27"/>
      <c r="CD65" s="27"/>
    </row>
    <row r="66" spans="1:84" ht="15" customHeight="1" x14ac:dyDescent="0.3">
      <c r="E66" s="2" t="s">
        <v>161</v>
      </c>
      <c r="F66" s="235">
        <f>'Form 2C.1 - Design'!N113</f>
        <v>0</v>
      </c>
      <c r="G66" s="235"/>
      <c r="H66" s="235"/>
      <c r="I66" s="235"/>
      <c r="N66" s="2" t="s">
        <v>240</v>
      </c>
      <c r="O66" s="246">
        <f>'Form 2C.1 - Design'!Y113</f>
        <v>0</v>
      </c>
      <c r="P66" s="247"/>
      <c r="Q66" s="247"/>
      <c r="R66" s="28" t="s">
        <v>40</v>
      </c>
      <c r="T66" s="65"/>
      <c r="Y66" s="2" t="s">
        <v>161</v>
      </c>
      <c r="Z66" s="182"/>
      <c r="AA66" s="182"/>
      <c r="AB66" s="182"/>
      <c r="AC66" s="182"/>
      <c r="AG66" s="2" t="s">
        <v>240</v>
      </c>
      <c r="AH66" s="181"/>
      <c r="AI66" s="181"/>
      <c r="AJ66" s="181"/>
      <c r="AK66" s="28" t="s">
        <v>40</v>
      </c>
      <c r="AW66" s="27"/>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7"/>
      <c r="CA66" s="27"/>
      <c r="CB66" s="27"/>
      <c r="CC66" s="27"/>
      <c r="CD66" s="27"/>
    </row>
    <row r="67" spans="1:84" ht="4.95" customHeight="1" x14ac:dyDescent="0.3">
      <c r="T67" s="65"/>
      <c r="AW67" s="27"/>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7"/>
      <c r="CA67" s="27"/>
      <c r="CB67" s="27"/>
      <c r="CC67" s="27"/>
      <c r="CD67" s="27"/>
    </row>
    <row r="68" spans="1:84" ht="15" customHeight="1" x14ac:dyDescent="0.3">
      <c r="B68" s="83" t="s">
        <v>230</v>
      </c>
      <c r="J68" s="104">
        <f>'Form 2C.1 - Design'!I115</f>
        <v>0</v>
      </c>
      <c r="K68" s="28" t="s">
        <v>305</v>
      </c>
      <c r="O68" s="2" t="s">
        <v>160</v>
      </c>
      <c r="P68" s="246">
        <f>'Form 2C.1 - Design'!T115</f>
        <v>0</v>
      </c>
      <c r="Q68" s="246"/>
      <c r="R68" s="28" t="s">
        <v>39</v>
      </c>
      <c r="T68" s="65"/>
      <c r="V68" s="83" t="s">
        <v>230</v>
      </c>
      <c r="AC68" s="62"/>
      <c r="AD68" s="28" t="s">
        <v>305</v>
      </c>
      <c r="AH68" s="2" t="s">
        <v>160</v>
      </c>
      <c r="AI68" s="181"/>
      <c r="AJ68" s="181"/>
      <c r="AK68" s="28" t="s">
        <v>39</v>
      </c>
      <c r="AM68" s="96">
        <f>IF(ISBLANK(AC68),1,2)</f>
        <v>1</v>
      </c>
      <c r="AW68" s="27"/>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7"/>
      <c r="CA68" s="27"/>
      <c r="CB68" s="27"/>
      <c r="CC68" s="27"/>
      <c r="CD68" s="27"/>
    </row>
    <row r="69" spans="1:84" ht="15" customHeight="1" x14ac:dyDescent="0.3">
      <c r="E69" s="2" t="s">
        <v>161</v>
      </c>
      <c r="F69" s="235">
        <f>'Form 2C.1 - Design'!N115</f>
        <v>0</v>
      </c>
      <c r="G69" s="235"/>
      <c r="H69" s="235"/>
      <c r="I69" s="235"/>
      <c r="O69" s="2" t="s">
        <v>234</v>
      </c>
      <c r="P69" s="256">
        <f>'Form 2C.1 - Design'!AD115</f>
        <v>0</v>
      </c>
      <c r="Q69" s="256"/>
      <c r="R69" s="28" t="s">
        <v>227</v>
      </c>
      <c r="T69" s="65"/>
      <c r="Y69" s="2" t="s">
        <v>161</v>
      </c>
      <c r="Z69" s="182"/>
      <c r="AA69" s="182"/>
      <c r="AB69" s="182"/>
      <c r="AC69" s="182"/>
      <c r="AH69" s="2" t="s">
        <v>234</v>
      </c>
      <c r="AI69" s="178"/>
      <c r="AJ69" s="178"/>
      <c r="AK69" s="28" t="s">
        <v>227</v>
      </c>
      <c r="AM69" s="96">
        <f>IF(ISBLANK(AI69),1,2)</f>
        <v>1</v>
      </c>
      <c r="AW69" s="27"/>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7"/>
      <c r="CA69" s="27"/>
      <c r="CB69" s="27"/>
      <c r="CC69" s="27"/>
      <c r="CD69" s="27"/>
    </row>
    <row r="70" spans="1:84" ht="4.95" customHeight="1" x14ac:dyDescent="0.3">
      <c r="AV70" s="26"/>
      <c r="AW70" s="27"/>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c r="CA70" s="27"/>
      <c r="CB70" s="27"/>
      <c r="CC70" s="27"/>
      <c r="CD70" s="27"/>
    </row>
    <row r="71" spans="1:84" ht="15" customHeight="1" x14ac:dyDescent="0.3">
      <c r="A71" s="255" t="s">
        <v>456</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56"/>
      <c r="AN71" s="56"/>
      <c r="AO71" s="56"/>
      <c r="CA71" s="27"/>
      <c r="CB71" s="27"/>
      <c r="CC71" s="27"/>
      <c r="CD71" s="27"/>
    </row>
    <row r="72" spans="1:84" ht="15" customHeight="1" x14ac:dyDescent="0.3">
      <c r="B72" s="1" t="s">
        <v>54</v>
      </c>
      <c r="C72" s="1"/>
      <c r="D72" s="1"/>
      <c r="E72" s="1"/>
      <c r="F72" s="1"/>
      <c r="G72" s="1"/>
      <c r="I72" s="1"/>
      <c r="J72" s="1"/>
      <c r="K72" s="1"/>
      <c r="L72" s="1"/>
      <c r="M72" s="1"/>
      <c r="N72" s="1"/>
      <c r="O72" s="1"/>
      <c r="P72" s="1"/>
      <c r="Q72" s="1"/>
      <c r="R72" s="1"/>
      <c r="S72" s="1"/>
      <c r="T72" s="1"/>
      <c r="U72" s="30"/>
      <c r="V72" s="1" t="s">
        <v>55</v>
      </c>
      <c r="X72" s="1"/>
      <c r="Y72" s="1"/>
      <c r="Z72" s="1"/>
      <c r="AA72" s="1"/>
      <c r="AB72" s="1"/>
      <c r="AC72" s="1"/>
      <c r="AD72" s="1"/>
      <c r="AE72" s="1"/>
      <c r="AF72" s="1"/>
      <c r="AG72" s="1"/>
      <c r="AH72" s="1"/>
      <c r="AI72" s="1"/>
      <c r="AJ72" s="61"/>
      <c r="AK72" s="61"/>
      <c r="CA72" s="27"/>
      <c r="CB72" s="27"/>
      <c r="CC72" s="27"/>
      <c r="CD72" s="27"/>
    </row>
    <row r="73" spans="1:84" ht="15" customHeight="1" x14ac:dyDescent="0.3">
      <c r="C73" s="2"/>
      <c r="D73" s="2" t="s">
        <v>161</v>
      </c>
      <c r="E73" s="235">
        <f>'Form 2C.1 - Design'!F118</f>
        <v>0</v>
      </c>
      <c r="F73" s="235"/>
      <c r="G73" s="235"/>
      <c r="H73" s="235"/>
      <c r="M73" s="2" t="s">
        <v>162</v>
      </c>
      <c r="N73" s="199">
        <f>'Form 2C.1 - Design'!P118</f>
        <v>0</v>
      </c>
      <c r="O73" s="199"/>
      <c r="P73" s="199"/>
      <c r="Q73" s="199"/>
      <c r="U73" s="30"/>
      <c r="X73" s="2" t="s">
        <v>161</v>
      </c>
      <c r="Y73" s="182"/>
      <c r="Z73" s="182"/>
      <c r="AA73" s="182"/>
      <c r="AB73" s="182"/>
      <c r="AC73" s="1"/>
      <c r="AG73" s="2" t="s">
        <v>30</v>
      </c>
      <c r="AH73" s="182"/>
      <c r="AI73" s="182"/>
      <c r="AJ73" s="182"/>
      <c r="AK73" s="182"/>
      <c r="CA73"/>
      <c r="CB73"/>
      <c r="CC73"/>
      <c r="CD73"/>
      <c r="CE73" s="31"/>
      <c r="CF73" s="31"/>
    </row>
    <row r="74" spans="1:84" ht="15" customHeight="1" x14ac:dyDescent="0.3">
      <c r="C74" s="2"/>
      <c r="D74" s="2" t="s">
        <v>160</v>
      </c>
      <c r="E74" s="251">
        <f>'Form 2C.1 - Design'!F119</f>
        <v>0</v>
      </c>
      <c r="F74" s="251"/>
      <c r="G74" s="251"/>
      <c r="H74" s="7" t="s">
        <v>40</v>
      </c>
      <c r="U74" s="30"/>
      <c r="X74" s="2" t="s">
        <v>160</v>
      </c>
      <c r="Y74" s="179"/>
      <c r="Z74" s="179"/>
      <c r="AA74" s="179"/>
      <c r="AB74" s="28" t="s">
        <v>40</v>
      </c>
      <c r="AM74" s="96">
        <f>IF(ISBLANK(Y74),1,2)</f>
        <v>1</v>
      </c>
      <c r="CA74"/>
      <c r="CB74"/>
      <c r="CC74"/>
      <c r="CD74"/>
      <c r="CE74" s="31"/>
      <c r="CF74" s="31"/>
    </row>
    <row r="75" spans="1:84" ht="15" customHeight="1" x14ac:dyDescent="0.3">
      <c r="C75" s="2"/>
      <c r="D75" s="2" t="s">
        <v>159</v>
      </c>
      <c r="E75" s="251">
        <f>'Form 2C.1 - Design'!F120</f>
        <v>0</v>
      </c>
      <c r="F75" s="251"/>
      <c r="G75" s="251"/>
      <c r="H75" s="7" t="s">
        <v>40</v>
      </c>
      <c r="L75" s="2" t="s">
        <v>163</v>
      </c>
      <c r="M75" s="253">
        <f>'Form 2C.1 - Design'!P120</f>
        <v>0</v>
      </c>
      <c r="N75" s="253"/>
      <c r="O75" s="253"/>
      <c r="P75" s="28" t="s">
        <v>40</v>
      </c>
      <c r="U75" s="30"/>
      <c r="X75" s="2" t="s">
        <v>159</v>
      </c>
      <c r="Y75" s="179"/>
      <c r="Z75" s="179"/>
      <c r="AA75" s="179"/>
      <c r="AB75" s="28" t="s">
        <v>40</v>
      </c>
      <c r="AG75" s="2" t="s">
        <v>41</v>
      </c>
      <c r="AH75" s="181"/>
      <c r="AI75" s="181"/>
      <c r="AJ75" s="181"/>
      <c r="AK75" s="28" t="s">
        <v>40</v>
      </c>
      <c r="AM75" s="96">
        <f>IF(AND(ISBLANK(Y75),ISBLANK(AH75)),1,2)</f>
        <v>1</v>
      </c>
      <c r="CA75"/>
      <c r="CB75"/>
      <c r="CC75"/>
      <c r="CD75"/>
    </row>
    <row r="76" spans="1:84" ht="15" customHeight="1" x14ac:dyDescent="0.3">
      <c r="C76" s="2"/>
      <c r="D76" s="2" t="s">
        <v>158</v>
      </c>
      <c r="E76" s="251">
        <f>'Form 2C.1 - Design'!F121</f>
        <v>0</v>
      </c>
      <c r="F76" s="251"/>
      <c r="G76" s="251"/>
      <c r="H76" s="7" t="s">
        <v>40</v>
      </c>
      <c r="L76" s="2" t="s">
        <v>164</v>
      </c>
      <c r="M76" s="251">
        <f>'Form 2C.1 - Design'!P121</f>
        <v>0</v>
      </c>
      <c r="N76" s="251"/>
      <c r="O76" s="251"/>
      <c r="P76" s="28" t="s">
        <v>40</v>
      </c>
      <c r="U76" s="30"/>
      <c r="X76" s="2" t="s">
        <v>158</v>
      </c>
      <c r="Y76" s="179"/>
      <c r="Z76" s="179"/>
      <c r="AA76" s="179"/>
      <c r="AB76" s="28" t="s">
        <v>40</v>
      </c>
      <c r="AG76" s="2" t="s">
        <v>42</v>
      </c>
      <c r="AH76" s="179"/>
      <c r="AI76" s="179"/>
      <c r="AJ76" s="179"/>
      <c r="AK76" s="28" t="s">
        <v>40</v>
      </c>
      <c r="CA76"/>
      <c r="CB76"/>
      <c r="CC76"/>
      <c r="CD76"/>
    </row>
    <row r="77" spans="1:84" ht="4.95" customHeight="1" x14ac:dyDescent="0.3">
      <c r="C77" s="2"/>
      <c r="D77" s="2"/>
      <c r="E77" s="2"/>
      <c r="F77" s="2"/>
      <c r="G77" s="2"/>
      <c r="H77" s="10"/>
      <c r="I77" s="7"/>
      <c r="M77" s="2"/>
      <c r="N77" s="11"/>
      <c r="O77" s="11"/>
      <c r="P77" s="11"/>
      <c r="U77" s="30"/>
      <c r="X77" s="2"/>
      <c r="Z77" s="2"/>
      <c r="AA77" s="32"/>
      <c r="AB77" s="32"/>
      <c r="AC77" s="32"/>
      <c r="AH77" s="2"/>
      <c r="AI77" s="33"/>
      <c r="AJ77" s="33"/>
      <c r="AK77" s="33"/>
      <c r="CA77"/>
      <c r="CB77"/>
      <c r="CC77"/>
      <c r="CD77"/>
    </row>
    <row r="78" spans="1:84" ht="15" customHeight="1" x14ac:dyDescent="0.3">
      <c r="C78" s="2"/>
      <c r="D78" s="2" t="s">
        <v>153</v>
      </c>
      <c r="E78" s="104">
        <f>'Form 2C.1 - Design'!AF121</f>
        <v>0</v>
      </c>
      <c r="F78" s="28" t="s">
        <v>117</v>
      </c>
      <c r="H78" s="104">
        <f>'Form 2C.1 - Design'!AI121</f>
        <v>0</v>
      </c>
      <c r="I78" s="28" t="s">
        <v>118</v>
      </c>
      <c r="U78" s="30"/>
      <c r="X78" s="2" t="s">
        <v>153</v>
      </c>
      <c r="Y78" s="62"/>
      <c r="Z78" s="28" t="s">
        <v>117</v>
      </c>
      <c r="AB78" s="62"/>
      <c r="AC78" s="28" t="s">
        <v>118</v>
      </c>
      <c r="AM78" s="96">
        <f>IF(AND(ISBLANK(Y78),ISBLANK(AB78)),1,2)</f>
        <v>1</v>
      </c>
      <c r="CA78"/>
      <c r="CB78"/>
      <c r="CC78"/>
      <c r="CD78"/>
    </row>
    <row r="79" spans="1:84" ht="15" customHeight="1" x14ac:dyDescent="0.3">
      <c r="E79" s="12" t="s">
        <v>31</v>
      </c>
      <c r="H79" s="4"/>
      <c r="J79" s="4" t="s">
        <v>295</v>
      </c>
      <c r="K79" s="4"/>
      <c r="L79" s="4"/>
      <c r="N79" s="4" t="s">
        <v>296</v>
      </c>
      <c r="O79" s="4"/>
      <c r="R79" s="4" t="s">
        <v>38</v>
      </c>
      <c r="S79" s="4"/>
      <c r="U79" s="30"/>
      <c r="W79" s="12" t="s">
        <v>31</v>
      </c>
      <c r="X79" s="4"/>
      <c r="Y79" s="4"/>
      <c r="Z79" s="4"/>
      <c r="AB79" s="4" t="s">
        <v>295</v>
      </c>
      <c r="AC79" s="4"/>
      <c r="AD79" s="4"/>
      <c r="AF79" s="4" t="s">
        <v>296</v>
      </c>
      <c r="AG79" s="4"/>
      <c r="AJ79" s="4" t="s">
        <v>38</v>
      </c>
      <c r="AK79" s="4"/>
      <c r="AM79" s="22"/>
      <c r="CA79"/>
      <c r="CB79"/>
      <c r="CC79"/>
      <c r="CD79"/>
    </row>
    <row r="80" spans="1:84" ht="15" customHeight="1" x14ac:dyDescent="0.3">
      <c r="C80" s="2"/>
      <c r="D80" s="2" t="s">
        <v>157</v>
      </c>
      <c r="E80" s="199">
        <f>'Form 2C.1 - Design'!F124</f>
        <v>0</v>
      </c>
      <c r="F80" s="199"/>
      <c r="G80" s="199"/>
      <c r="I80" s="253">
        <f>'Form 2C.1 - Design'!K124</f>
        <v>0</v>
      </c>
      <c r="J80" s="253"/>
      <c r="K80" s="253"/>
      <c r="L80" s="28" t="s">
        <v>39</v>
      </c>
      <c r="M80" s="253">
        <f>'Form 2C.1 - Design'!P124</f>
        <v>0</v>
      </c>
      <c r="N80" s="253"/>
      <c r="O80" s="253"/>
      <c r="P80" s="28" t="s">
        <v>39</v>
      </c>
      <c r="Q80" s="253">
        <f>'Form 2C.1 - Design'!U124</f>
        <v>0</v>
      </c>
      <c r="R80" s="253"/>
      <c r="S80" s="253"/>
      <c r="T80" s="28" t="s">
        <v>40</v>
      </c>
      <c r="U80" s="30"/>
      <c r="W80" s="182"/>
      <c r="X80" s="182"/>
      <c r="Y80" s="182"/>
      <c r="AA80" s="181"/>
      <c r="AB80" s="181"/>
      <c r="AC80" s="181"/>
      <c r="AD80" s="28" t="s">
        <v>39</v>
      </c>
      <c r="AE80" s="181"/>
      <c r="AF80" s="181"/>
      <c r="AG80" s="181"/>
      <c r="AH80" s="28" t="s">
        <v>39</v>
      </c>
      <c r="AI80" s="181"/>
      <c r="AJ80" s="181"/>
      <c r="AK80" s="181"/>
      <c r="AL80" s="28" t="s">
        <v>40</v>
      </c>
      <c r="AM80" s="96">
        <f>IF(ISBLANK(W80),1,2)</f>
        <v>1</v>
      </c>
      <c r="CA80" s="31"/>
      <c r="CB80" s="31"/>
      <c r="CC80" s="31"/>
      <c r="CD80" s="31"/>
    </row>
    <row r="81" spans="1:82" ht="15" customHeight="1" x14ac:dyDescent="0.3">
      <c r="C81" s="2"/>
      <c r="D81" s="2" t="s">
        <v>156</v>
      </c>
      <c r="E81" s="254">
        <f>'Form 2C.1 - Design'!F126</f>
        <v>0</v>
      </c>
      <c r="F81" s="254"/>
      <c r="G81" s="254"/>
      <c r="I81" s="251">
        <f>'Form 2C.1 - Design'!K126</f>
        <v>0</v>
      </c>
      <c r="J81" s="251"/>
      <c r="K81" s="251"/>
      <c r="L81" s="28" t="str">
        <f>'Form 2C.1 - Design'!N126</f>
        <v>in</v>
      </c>
      <c r="M81" s="251">
        <f>'Form 2C.1 - Design'!P126</f>
        <v>0</v>
      </c>
      <c r="N81" s="251"/>
      <c r="O81" s="251"/>
      <c r="P81" s="28" t="s">
        <v>39</v>
      </c>
      <c r="Q81" s="251">
        <f>'Form 2C.1 - Design'!U126</f>
        <v>0</v>
      </c>
      <c r="R81" s="251"/>
      <c r="S81" s="251"/>
      <c r="T81" s="28" t="s">
        <v>40</v>
      </c>
      <c r="U81" s="30"/>
      <c r="W81" s="200"/>
      <c r="X81" s="200"/>
      <c r="Y81" s="200"/>
      <c r="AA81" s="179"/>
      <c r="AB81" s="179"/>
      <c r="AC81" s="179"/>
      <c r="AD81" s="28" t="str">
        <f>IF(W81="V-notch","deg","in")</f>
        <v>in</v>
      </c>
      <c r="AE81" s="179"/>
      <c r="AF81" s="179"/>
      <c r="AG81" s="179"/>
      <c r="AH81" s="28" t="s">
        <v>39</v>
      </c>
      <c r="AI81" s="179"/>
      <c r="AJ81" s="179"/>
      <c r="AK81" s="179"/>
      <c r="AL81" s="28" t="s">
        <v>40</v>
      </c>
      <c r="AM81" s="96">
        <f>IF(ISBLANK(W81),1,2)</f>
        <v>1</v>
      </c>
      <c r="CA81" s="31"/>
      <c r="CB81" s="31"/>
      <c r="CC81" s="31"/>
      <c r="CD81" s="31"/>
    </row>
    <row r="82" spans="1:82" ht="4.95" customHeight="1" x14ac:dyDescent="0.3">
      <c r="C82" s="2"/>
      <c r="D82" s="2"/>
      <c r="E82" s="2"/>
      <c r="F82" s="2"/>
      <c r="G82" s="2"/>
      <c r="H82" s="7"/>
      <c r="J82" s="11"/>
      <c r="K82" s="11"/>
      <c r="L82" s="11"/>
      <c r="N82" s="11"/>
      <c r="O82" s="11"/>
      <c r="P82" s="11"/>
      <c r="R82" s="11"/>
      <c r="S82" s="11"/>
      <c r="T82" s="11"/>
      <c r="U82" s="30"/>
      <c r="AA82" s="33"/>
      <c r="AB82" s="33"/>
      <c r="AC82" s="33"/>
      <c r="AE82" s="33"/>
      <c r="AF82" s="33"/>
      <c r="AG82" s="33"/>
      <c r="AI82" s="33"/>
      <c r="AJ82" s="33"/>
      <c r="AK82" s="33"/>
      <c r="AM82" s="22"/>
      <c r="AV82" s="26"/>
      <c r="BZ82"/>
      <c r="CA82" s="27"/>
      <c r="CB82" s="27"/>
      <c r="CC82" s="27"/>
      <c r="CD82" s="27"/>
    </row>
    <row r="83" spans="1:82" ht="15" customHeight="1" x14ac:dyDescent="0.3">
      <c r="D83" s="2" t="s">
        <v>341</v>
      </c>
      <c r="E83" s="104">
        <f>'Form 2C.1 - Design'!AF126</f>
        <v>0</v>
      </c>
      <c r="F83" s="28" t="s">
        <v>117</v>
      </c>
      <c r="H83" s="104">
        <f>'Form 2C.1 - Design'!AI126</f>
        <v>0</v>
      </c>
      <c r="I83" s="28" t="s">
        <v>118</v>
      </c>
      <c r="U83" s="30"/>
      <c r="X83" s="2" t="s">
        <v>341</v>
      </c>
      <c r="Y83" s="62"/>
      <c r="Z83" s="28" t="s">
        <v>117</v>
      </c>
      <c r="AB83" s="62"/>
      <c r="AC83" s="28" t="s">
        <v>118</v>
      </c>
      <c r="AM83" s="96">
        <f>IF(AND(ISBLANK(Y83),ISBLANK(AB83)),1,2)</f>
        <v>1</v>
      </c>
      <c r="AN83" s="96">
        <f>IF(ISBLANK(AB83),1,2)</f>
        <v>1</v>
      </c>
      <c r="BZ83"/>
      <c r="CA83" s="27"/>
      <c r="CB83" s="27"/>
      <c r="CC83" s="27"/>
      <c r="CD83" s="27"/>
    </row>
    <row r="84" spans="1:82" ht="15" customHeight="1" x14ac:dyDescent="0.3">
      <c r="B84" s="227" t="str">
        <f>'Form 2C.1 - Design'!C127</f>
        <v xml:space="preserve">Select: </v>
      </c>
      <c r="C84" s="227"/>
      <c r="D84" s="227"/>
      <c r="E84" s="235">
        <f>'Form 2C.1 - Design'!F127</f>
        <v>0</v>
      </c>
      <c r="F84" s="235"/>
      <c r="G84" s="235"/>
      <c r="I84" s="253">
        <f>'Form 2C.1 - Design'!K127</f>
        <v>0</v>
      </c>
      <c r="J84" s="253"/>
      <c r="K84" s="253"/>
      <c r="L84" s="28" t="str">
        <f>'Form 2C.1 - Design'!N127</f>
        <v>in</v>
      </c>
      <c r="M84" s="253">
        <f>'Form 2C.1 - Design'!P127</f>
        <v>0</v>
      </c>
      <c r="N84" s="253"/>
      <c r="O84" s="253"/>
      <c r="P84" s="28" t="s">
        <v>39</v>
      </c>
      <c r="Q84" s="253">
        <f>'Form 2C.1 - Design'!U127</f>
        <v>0</v>
      </c>
      <c r="R84" s="253"/>
      <c r="S84" s="253"/>
      <c r="T84" s="28" t="s">
        <v>40</v>
      </c>
      <c r="U84" s="30"/>
      <c r="W84" s="182"/>
      <c r="X84" s="182"/>
      <c r="Y84" s="182"/>
      <c r="AA84" s="181"/>
      <c r="AB84" s="181"/>
      <c r="AC84" s="181"/>
      <c r="AD84" s="28" t="str">
        <f>IF(W84="V-notch","deg","in")</f>
        <v>in</v>
      </c>
      <c r="AE84" s="181"/>
      <c r="AF84" s="181"/>
      <c r="AG84" s="181"/>
      <c r="AH84" s="28" t="s">
        <v>39</v>
      </c>
      <c r="AI84" s="181"/>
      <c r="AJ84" s="181"/>
      <c r="AK84" s="181"/>
      <c r="AL84" s="28" t="s">
        <v>40</v>
      </c>
      <c r="AM84" s="96">
        <f t="shared" ref="AM84:AM88" si="0">IF(ISBLANK(W84),1,2)</f>
        <v>1</v>
      </c>
      <c r="BZ84" s="31"/>
      <c r="CA84" s="27"/>
      <c r="CB84" s="27"/>
      <c r="CC84" s="27"/>
      <c r="CD84" s="27"/>
    </row>
    <row r="85" spans="1:82" ht="15" customHeight="1" x14ac:dyDescent="0.3">
      <c r="B85" s="227" t="str">
        <f>'Form 2C.1 - Design'!C128</f>
        <v xml:space="preserve">Select: </v>
      </c>
      <c r="C85" s="227"/>
      <c r="D85" s="227"/>
      <c r="E85" s="237">
        <f>'Form 2C.1 - Design'!F128</f>
        <v>0</v>
      </c>
      <c r="F85" s="237"/>
      <c r="G85" s="237"/>
      <c r="I85" s="251">
        <f>'Form 2C.1 - Design'!K128</f>
        <v>0</v>
      </c>
      <c r="J85" s="251"/>
      <c r="K85" s="251"/>
      <c r="L85" s="28" t="str">
        <f>'Form 2C.1 - Design'!N128</f>
        <v>in</v>
      </c>
      <c r="M85" s="251">
        <f>'Form 2C.1 - Design'!P128</f>
        <v>0</v>
      </c>
      <c r="N85" s="251"/>
      <c r="O85" s="251"/>
      <c r="P85" s="28" t="s">
        <v>39</v>
      </c>
      <c r="Q85" s="251">
        <f>'Form 2C.1 - Design'!U128</f>
        <v>0</v>
      </c>
      <c r="R85" s="251"/>
      <c r="S85" s="251"/>
      <c r="T85" s="28" t="s">
        <v>40</v>
      </c>
      <c r="U85" s="30"/>
      <c r="W85" s="182"/>
      <c r="X85" s="182"/>
      <c r="Y85" s="182"/>
      <c r="AA85" s="179"/>
      <c r="AB85" s="179"/>
      <c r="AC85" s="179"/>
      <c r="AD85" s="28" t="str">
        <f t="shared" ref="AD85:AD88" si="1">IF(W85="V-notch","deg","in")</f>
        <v>in</v>
      </c>
      <c r="AE85" s="179"/>
      <c r="AF85" s="179"/>
      <c r="AG85" s="179"/>
      <c r="AH85" s="28" t="s">
        <v>39</v>
      </c>
      <c r="AI85" s="179"/>
      <c r="AJ85" s="179"/>
      <c r="AK85" s="179"/>
      <c r="AL85" s="28" t="s">
        <v>40</v>
      </c>
      <c r="AM85" s="96">
        <f t="shared" si="0"/>
        <v>1</v>
      </c>
      <c r="CA85" s="27"/>
      <c r="CB85" s="27"/>
      <c r="CC85" s="27"/>
      <c r="CD85" s="27"/>
    </row>
    <row r="86" spans="1:82" ht="15" customHeight="1" x14ac:dyDescent="0.3">
      <c r="B86" s="227" t="str">
        <f>'Form 2C.1 - Design'!C129</f>
        <v xml:space="preserve">Select: </v>
      </c>
      <c r="C86" s="227"/>
      <c r="D86" s="227"/>
      <c r="E86" s="237">
        <f>'Form 2C.1 - Design'!F129</f>
        <v>0</v>
      </c>
      <c r="F86" s="237"/>
      <c r="G86" s="237"/>
      <c r="I86" s="251">
        <f>'Form 2C.1 - Design'!K129</f>
        <v>0</v>
      </c>
      <c r="J86" s="251"/>
      <c r="K86" s="251"/>
      <c r="L86" s="28" t="str">
        <f>'Form 2C.1 - Design'!N129</f>
        <v>in</v>
      </c>
      <c r="M86" s="251">
        <f>'Form 2C.1 - Design'!P129</f>
        <v>0</v>
      </c>
      <c r="N86" s="251"/>
      <c r="O86" s="251"/>
      <c r="P86" s="28" t="s">
        <v>39</v>
      </c>
      <c r="Q86" s="251">
        <f>'Form 2C.1 - Design'!U129</f>
        <v>0</v>
      </c>
      <c r="R86" s="251"/>
      <c r="S86" s="251"/>
      <c r="T86" s="28" t="s">
        <v>40</v>
      </c>
      <c r="U86" s="30"/>
      <c r="W86" s="182"/>
      <c r="X86" s="182"/>
      <c r="Y86" s="182"/>
      <c r="AA86" s="179"/>
      <c r="AB86" s="179"/>
      <c r="AC86" s="179"/>
      <c r="AD86" s="28" t="str">
        <f t="shared" si="1"/>
        <v>in</v>
      </c>
      <c r="AE86" s="179"/>
      <c r="AF86" s="179"/>
      <c r="AG86" s="179"/>
      <c r="AH86" s="28" t="s">
        <v>39</v>
      </c>
      <c r="AI86" s="179"/>
      <c r="AJ86" s="179"/>
      <c r="AK86" s="179"/>
      <c r="AL86" s="28" t="s">
        <v>40</v>
      </c>
      <c r="AM86" s="96">
        <f t="shared" si="0"/>
        <v>1</v>
      </c>
      <c r="CA86" s="27"/>
      <c r="CB86" s="27"/>
      <c r="CC86" s="27"/>
      <c r="CD86" s="27"/>
    </row>
    <row r="87" spans="1:82" ht="15" customHeight="1" x14ac:dyDescent="0.3">
      <c r="B87" s="227" t="str">
        <f>'Form 2C.1 - Design'!C130</f>
        <v xml:space="preserve">Select: </v>
      </c>
      <c r="C87" s="227"/>
      <c r="D87" s="227"/>
      <c r="E87" s="237">
        <f>'Form 2C.1 - Design'!F130</f>
        <v>0</v>
      </c>
      <c r="F87" s="237"/>
      <c r="G87" s="237"/>
      <c r="I87" s="251">
        <f>'Form 2C.1 - Design'!K130</f>
        <v>0</v>
      </c>
      <c r="J87" s="251"/>
      <c r="K87" s="251"/>
      <c r="L87" s="28" t="str">
        <f>'Form 2C.1 - Design'!N130</f>
        <v>in</v>
      </c>
      <c r="M87" s="251">
        <f>'Form 2C.1 - Design'!P130</f>
        <v>0</v>
      </c>
      <c r="N87" s="251"/>
      <c r="O87" s="251"/>
      <c r="P87" s="28" t="s">
        <v>39</v>
      </c>
      <c r="Q87" s="251">
        <f>'Form 2C.1 - Design'!U130</f>
        <v>0</v>
      </c>
      <c r="R87" s="251"/>
      <c r="S87" s="251"/>
      <c r="T87" s="28" t="s">
        <v>40</v>
      </c>
      <c r="U87" s="30"/>
      <c r="W87" s="182"/>
      <c r="X87" s="182"/>
      <c r="Y87" s="182"/>
      <c r="AA87" s="179"/>
      <c r="AB87" s="179"/>
      <c r="AC87" s="179"/>
      <c r="AD87" s="28" t="str">
        <f t="shared" si="1"/>
        <v>in</v>
      </c>
      <c r="AE87" s="179"/>
      <c r="AF87" s="179"/>
      <c r="AG87" s="179"/>
      <c r="AH87" s="28" t="s">
        <v>39</v>
      </c>
      <c r="AI87" s="179"/>
      <c r="AJ87" s="179"/>
      <c r="AK87" s="179"/>
      <c r="AL87" s="28" t="s">
        <v>40</v>
      </c>
      <c r="AM87" s="96">
        <f t="shared" si="0"/>
        <v>1</v>
      </c>
      <c r="CA87" s="27"/>
      <c r="CB87" s="27"/>
      <c r="CC87" s="27"/>
      <c r="CD87" s="27"/>
    </row>
    <row r="88" spans="1:82" ht="15" customHeight="1" x14ac:dyDescent="0.3">
      <c r="B88" s="227" t="str">
        <f>'Form 2C.1 - Design'!C131</f>
        <v xml:space="preserve">Select: </v>
      </c>
      <c r="C88" s="227"/>
      <c r="D88" s="227"/>
      <c r="E88" s="237">
        <f>'Form 2C.1 - Design'!F131</f>
        <v>0</v>
      </c>
      <c r="F88" s="237"/>
      <c r="G88" s="237"/>
      <c r="I88" s="251">
        <f>'Form 2C.1 - Design'!K131</f>
        <v>0</v>
      </c>
      <c r="J88" s="251"/>
      <c r="K88" s="251"/>
      <c r="L88" s="28" t="str">
        <f>'Form 2C.1 - Design'!N131</f>
        <v>in</v>
      </c>
      <c r="M88" s="251">
        <f>'Form 2C.1 - Design'!P131</f>
        <v>0</v>
      </c>
      <c r="N88" s="251"/>
      <c r="O88" s="251"/>
      <c r="P88" s="28" t="s">
        <v>39</v>
      </c>
      <c r="Q88" s="251">
        <f>'Form 2C.1 - Design'!U131</f>
        <v>0</v>
      </c>
      <c r="R88" s="251"/>
      <c r="S88" s="251"/>
      <c r="T88" s="28" t="s">
        <v>40</v>
      </c>
      <c r="U88" s="30"/>
      <c r="W88" s="182"/>
      <c r="X88" s="182"/>
      <c r="Y88" s="182"/>
      <c r="AA88" s="179"/>
      <c r="AB88" s="179"/>
      <c r="AC88" s="179"/>
      <c r="AD88" s="28" t="str">
        <f t="shared" si="1"/>
        <v>in</v>
      </c>
      <c r="AE88" s="179"/>
      <c r="AF88" s="179"/>
      <c r="AG88" s="179"/>
      <c r="AH88" s="28" t="s">
        <v>40</v>
      </c>
      <c r="AI88" s="179"/>
      <c r="AJ88" s="179"/>
      <c r="AK88" s="179"/>
      <c r="AL88" s="28" t="s">
        <v>40</v>
      </c>
      <c r="AM88" s="96">
        <f t="shared" si="0"/>
        <v>1</v>
      </c>
      <c r="CA88" s="27"/>
      <c r="CB88" s="27"/>
      <c r="CC88" s="27"/>
      <c r="CD88" s="27"/>
    </row>
    <row r="89" spans="1:82" ht="4.95" customHeight="1" x14ac:dyDescent="0.3">
      <c r="B89" s="2"/>
      <c r="C89" s="2"/>
      <c r="D89" s="2"/>
      <c r="E89" s="2"/>
      <c r="F89" s="2"/>
      <c r="G89" s="2"/>
      <c r="J89" s="33"/>
      <c r="K89" s="33"/>
      <c r="L89" s="33"/>
      <c r="N89" s="33"/>
      <c r="O89" s="33"/>
      <c r="P89" s="33"/>
      <c r="R89" s="33"/>
      <c r="S89" s="33"/>
      <c r="T89" s="33"/>
      <c r="AA89" s="33"/>
      <c r="AB89" s="33"/>
      <c r="AC89" s="33"/>
      <c r="AE89" s="33"/>
      <c r="AF89" s="33"/>
      <c r="AG89" s="33"/>
      <c r="AI89" s="33"/>
      <c r="AJ89" s="33"/>
      <c r="AK89" s="33"/>
      <c r="AV89" s="28"/>
      <c r="CA89" s="27"/>
      <c r="CB89" s="27"/>
      <c r="CC89" s="27"/>
      <c r="CD89" s="27"/>
    </row>
    <row r="90" spans="1:82" ht="15" customHeight="1" x14ac:dyDescent="0.3">
      <c r="A90" s="255" t="s">
        <v>457</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56"/>
      <c r="AN90" s="56"/>
      <c r="AO90" s="56"/>
      <c r="AQ90" s="22" t="s">
        <v>155</v>
      </c>
      <c r="AS90" s="22" t="s">
        <v>137</v>
      </c>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row>
    <row r="91" spans="1:82" ht="4.95" customHeight="1" x14ac:dyDescent="0.3">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56"/>
      <c r="AN91" s="56"/>
      <c r="AO91" s="56"/>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row>
    <row r="92" spans="1:82" ht="15" customHeight="1" x14ac:dyDescent="0.3">
      <c r="B92" s="1" t="s">
        <v>54</v>
      </c>
      <c r="C92" s="1"/>
      <c r="D92" s="1"/>
      <c r="E92" s="1"/>
      <c r="F92" s="1"/>
      <c r="G92" s="104">
        <f>'Form 2C.1 - Design'!K135</f>
        <v>0</v>
      </c>
      <c r="H92" s="28" t="s">
        <v>117</v>
      </c>
      <c r="K92" s="104">
        <f>'Form 2C.1 - Design'!O135</f>
        <v>0</v>
      </c>
      <c r="L92" s="28" t="s">
        <v>118</v>
      </c>
      <c r="M92" s="1"/>
      <c r="N92" s="1"/>
      <c r="O92" s="1"/>
      <c r="P92" s="1"/>
      <c r="Q92" s="1"/>
      <c r="R92" s="1"/>
      <c r="S92" s="1"/>
      <c r="T92" s="1"/>
      <c r="U92" s="30"/>
      <c r="V92" s="1" t="s">
        <v>55</v>
      </c>
      <c r="W92" s="1"/>
      <c r="X92" s="1"/>
      <c r="Y92" s="1"/>
      <c r="Z92" s="1"/>
      <c r="AA92" s="62"/>
      <c r="AB92" s="28" t="s">
        <v>117</v>
      </c>
      <c r="AE92" s="62"/>
      <c r="AF92" s="28" t="s">
        <v>118</v>
      </c>
      <c r="AG92" s="1"/>
      <c r="AH92" s="1"/>
      <c r="AI92" s="61"/>
      <c r="AJ92" s="61"/>
      <c r="AM92" s="72" t="s">
        <v>79</v>
      </c>
      <c r="AN92" s="96">
        <f>SUM(AN94:AN96,AQ94:AQ96)</f>
        <v>0</v>
      </c>
      <c r="AO92" s="96"/>
      <c r="AP92" s="96">
        <f>IF(AND(ISBLANK(AA92),ISBLANK(AE92)),1,2)</f>
        <v>1</v>
      </c>
      <c r="AQ92" s="96">
        <f>IF(ISBLANK(AA92),1,2)</f>
        <v>1</v>
      </c>
      <c r="AR92" s="96"/>
      <c r="AS92" s="96">
        <f>IF(ISBLANK(AE92),1,2)</f>
        <v>1</v>
      </c>
      <c r="AV92" s="26"/>
      <c r="BZ92" s="27"/>
      <c r="CA92" s="27"/>
      <c r="CB92" s="27"/>
      <c r="CC92" s="27"/>
      <c r="CD92" s="27"/>
    </row>
    <row r="93" spans="1:82" ht="4.95" customHeight="1" x14ac:dyDescent="0.3">
      <c r="B93" s="1"/>
      <c r="C93" s="1"/>
      <c r="D93" s="1"/>
      <c r="E93" s="1"/>
      <c r="F93" s="1"/>
      <c r="G93" s="1"/>
      <c r="I93" s="1"/>
      <c r="J93" s="1"/>
      <c r="K93" s="1"/>
      <c r="L93" s="1"/>
      <c r="M93" s="1"/>
      <c r="N93" s="1"/>
      <c r="O93" s="1"/>
      <c r="P93" s="1"/>
      <c r="Q93" s="1"/>
      <c r="R93" s="1"/>
      <c r="S93" s="1"/>
      <c r="T93" s="1"/>
      <c r="U93" s="30"/>
      <c r="V93" s="1"/>
      <c r="W93" s="1"/>
      <c r="X93" s="1"/>
      <c r="Y93" s="1"/>
      <c r="Z93" s="1"/>
      <c r="AA93" s="1"/>
      <c r="AB93" s="1"/>
      <c r="AC93" s="1"/>
      <c r="AD93" s="1"/>
      <c r="AE93" s="1"/>
      <c r="AF93" s="1"/>
      <c r="AG93" s="1"/>
      <c r="AH93" s="1"/>
      <c r="AI93" s="1"/>
      <c r="AJ93" s="61"/>
      <c r="AM93" s="72"/>
      <c r="AN93" s="22"/>
      <c r="AO93" s="22"/>
      <c r="AV93" s="26"/>
      <c r="BZ93" s="27"/>
      <c r="CA93" s="27"/>
      <c r="CB93" s="27"/>
      <c r="CC93" s="27"/>
      <c r="CD93" s="27"/>
    </row>
    <row r="94" spans="1:82" ht="15" customHeight="1" x14ac:dyDescent="0.3">
      <c r="C94" s="2"/>
      <c r="D94" s="2" t="s">
        <v>27</v>
      </c>
      <c r="E94" s="199">
        <f>'Form 2C.1 - Design'!F137</f>
        <v>0</v>
      </c>
      <c r="F94" s="199"/>
      <c r="G94" s="199"/>
      <c r="H94" s="199"/>
      <c r="N94" s="2" t="s">
        <v>30</v>
      </c>
      <c r="O94" s="199">
        <f>'Form 2C.1 - Design'!O137</f>
        <v>0</v>
      </c>
      <c r="P94" s="199"/>
      <c r="Q94" s="199"/>
      <c r="R94" s="199"/>
      <c r="U94" s="30"/>
      <c r="X94" s="2" t="s">
        <v>27</v>
      </c>
      <c r="Y94" s="182"/>
      <c r="Z94" s="182"/>
      <c r="AA94" s="182"/>
      <c r="AB94" s="182"/>
      <c r="AG94" s="2" t="s">
        <v>30</v>
      </c>
      <c r="AH94" s="182"/>
      <c r="AI94" s="182"/>
      <c r="AJ94" s="182"/>
      <c r="AK94" s="182"/>
      <c r="AM94" s="72" t="s">
        <v>21</v>
      </c>
      <c r="AN94" s="96">
        <f>IF(ISBLANK(Y94),0,1)</f>
        <v>0</v>
      </c>
      <c r="AO94" s="22"/>
      <c r="AP94" s="72" t="s">
        <v>31</v>
      </c>
      <c r="AQ94" s="96">
        <f>IF(ISBLANK(AH94),0,1)</f>
        <v>0</v>
      </c>
      <c r="AV94" s="26"/>
      <c r="BZ94" s="27"/>
      <c r="CA94" s="27"/>
      <c r="CB94" s="27"/>
      <c r="CC94" s="27"/>
      <c r="CD94" s="27"/>
    </row>
    <row r="95" spans="1:82" ht="15" customHeight="1" x14ac:dyDescent="0.3">
      <c r="C95" s="2"/>
      <c r="D95" s="2" t="s">
        <v>37</v>
      </c>
      <c r="E95" s="251">
        <f>'Form 2C.1 - Design'!F138</f>
        <v>0</v>
      </c>
      <c r="F95" s="251"/>
      <c r="G95" s="251"/>
      <c r="H95" s="28" t="s">
        <v>40</v>
      </c>
      <c r="N95" s="2" t="s">
        <v>41</v>
      </c>
      <c r="O95" s="251">
        <f>'Form 2C.1 - Design'!O138</f>
        <v>0</v>
      </c>
      <c r="P95" s="251"/>
      <c r="Q95" s="251"/>
      <c r="R95" s="28" t="s">
        <v>40</v>
      </c>
      <c r="U95" s="30"/>
      <c r="X95" s="2" t="s">
        <v>37</v>
      </c>
      <c r="Y95" s="179"/>
      <c r="Z95" s="179"/>
      <c r="AA95" s="179"/>
      <c r="AB95" s="28" t="s">
        <v>40</v>
      </c>
      <c r="AG95" s="2" t="s">
        <v>41</v>
      </c>
      <c r="AH95" s="179"/>
      <c r="AI95" s="179"/>
      <c r="AJ95" s="179"/>
      <c r="AK95" s="28" t="s">
        <v>40</v>
      </c>
      <c r="AM95" s="72" t="s">
        <v>50</v>
      </c>
      <c r="AN95" s="96">
        <f>IF(ISBLANK(Y95),0,1)</f>
        <v>0</v>
      </c>
      <c r="AO95" s="22"/>
      <c r="AP95" s="72" t="s">
        <v>76</v>
      </c>
      <c r="AQ95" s="96">
        <f>IF(ISBLANK(AH95),0,1)</f>
        <v>0</v>
      </c>
      <c r="AV95" s="26"/>
      <c r="BZ95" s="27"/>
      <c r="CA95" s="27"/>
      <c r="CB95" s="27"/>
      <c r="CC95" s="27"/>
      <c r="CD95" s="27"/>
    </row>
    <row r="96" spans="1:82" ht="15" customHeight="1" x14ac:dyDescent="0.3">
      <c r="C96" s="2"/>
      <c r="D96" s="2" t="s">
        <v>43</v>
      </c>
      <c r="E96" s="251">
        <f>'Form 2C.1 - Design'!W138</f>
        <v>0</v>
      </c>
      <c r="F96" s="251"/>
      <c r="G96" s="251"/>
      <c r="H96" s="28" t="s">
        <v>40</v>
      </c>
      <c r="N96" s="2" t="s">
        <v>111</v>
      </c>
      <c r="O96" s="251">
        <f>'Form 2C.1 - Design'!AF138</f>
        <v>0</v>
      </c>
      <c r="P96" s="251"/>
      <c r="Q96" s="251"/>
      <c r="R96" s="28" t="s">
        <v>40</v>
      </c>
      <c r="U96" s="66"/>
      <c r="X96" s="2" t="s">
        <v>43</v>
      </c>
      <c r="Y96" s="179"/>
      <c r="Z96" s="179"/>
      <c r="AA96" s="179"/>
      <c r="AB96" s="28" t="s">
        <v>40</v>
      </c>
      <c r="AG96" s="2" t="s">
        <v>111</v>
      </c>
      <c r="AH96" s="179"/>
      <c r="AI96" s="179"/>
      <c r="AJ96" s="179"/>
      <c r="AK96" s="28" t="s">
        <v>40</v>
      </c>
      <c r="AM96" s="72" t="s">
        <v>77</v>
      </c>
      <c r="AN96" s="96">
        <f>IF(ISBLANK(Y96),0,1)</f>
        <v>0</v>
      </c>
      <c r="AO96" s="22"/>
      <c r="AP96" s="72" t="s">
        <v>78</v>
      </c>
      <c r="AQ96" s="96">
        <f>IF(ISBLANK(AH96),0,1)</f>
        <v>0</v>
      </c>
      <c r="AV96" s="26"/>
      <c r="BZ96" s="27"/>
    </row>
    <row r="97" spans="1:78" ht="4.95" customHeight="1" x14ac:dyDescent="0.3">
      <c r="B97" s="2"/>
      <c r="C97" s="2"/>
      <c r="D97" s="2"/>
      <c r="E97" s="2"/>
      <c r="F97" s="2"/>
      <c r="G97" s="2"/>
      <c r="H97" s="33"/>
      <c r="M97" s="2"/>
      <c r="N97" s="33"/>
      <c r="O97" s="33"/>
      <c r="P97" s="33"/>
      <c r="U97" s="2"/>
      <c r="V97" s="2"/>
      <c r="W97" s="33"/>
      <c r="X97" s="33"/>
      <c r="Y97" s="33"/>
      <c r="AD97" s="2"/>
      <c r="AE97" s="33"/>
      <c r="AF97" s="33"/>
      <c r="AG97" s="33"/>
      <c r="AM97" s="72"/>
      <c r="AN97" s="22"/>
      <c r="AO97" s="22"/>
      <c r="AV97" s="28"/>
      <c r="BZ97" s="27"/>
    </row>
    <row r="98" spans="1:78" s="5" customFormat="1" ht="15" customHeight="1" x14ac:dyDescent="0.3">
      <c r="A98" s="249" t="s">
        <v>14</v>
      </c>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2"/>
      <c r="AN98" s="22"/>
      <c r="AO98" s="22"/>
      <c r="AP98" s="22"/>
      <c r="AQ98" s="22"/>
      <c r="AR98" s="22"/>
      <c r="AS98" s="22"/>
      <c r="AT98" s="22"/>
      <c r="BZ98" s="27"/>
    </row>
    <row r="99" spans="1:78" ht="15" customHeight="1" x14ac:dyDescent="0.3">
      <c r="B99" s="1" t="s">
        <v>54</v>
      </c>
      <c r="C99" s="1"/>
      <c r="D99" s="1"/>
      <c r="E99" s="1"/>
      <c r="F99" s="1"/>
      <c r="H99" s="34" t="s">
        <v>44</v>
      </c>
      <c r="I99" s="266">
        <f>'Form 2C.1 - Design'!O140</f>
        <v>0</v>
      </c>
      <c r="J99" s="266"/>
      <c r="K99" s="266"/>
      <c r="L99" s="266"/>
      <c r="O99" s="64"/>
      <c r="P99" s="64"/>
      <c r="Q99" s="1"/>
      <c r="R99" s="1"/>
      <c r="S99" s="1"/>
      <c r="U99" s="30"/>
      <c r="V99" s="1" t="s">
        <v>55</v>
      </c>
      <c r="W99" s="1"/>
      <c r="X99" s="1"/>
      <c r="Y99" s="35"/>
      <c r="AA99" s="34"/>
      <c r="AC99" s="34" t="s">
        <v>44</v>
      </c>
      <c r="AD99" s="204"/>
      <c r="AE99" s="204"/>
      <c r="AF99" s="204"/>
      <c r="AG99" s="204"/>
      <c r="AH99" s="35"/>
      <c r="AI99" s="35"/>
      <c r="AJ99" s="35"/>
      <c r="AK99" s="35"/>
      <c r="AM99" s="72" t="s">
        <v>138</v>
      </c>
      <c r="AN99" s="96">
        <f>IF(ISBLANK(AD99),0,1)</f>
        <v>0</v>
      </c>
      <c r="AO99" s="22"/>
      <c r="AR99" s="72" t="s">
        <v>453</v>
      </c>
      <c r="AS99" s="96">
        <f>IF(ISBLANK(AD99),1,IF(ISTEXT(AD99)=TRUE,3,2))</f>
        <v>1</v>
      </c>
      <c r="BZ99" s="27"/>
    </row>
    <row r="100" spans="1:78" ht="15" customHeight="1" x14ac:dyDescent="0.3">
      <c r="B100" s="1"/>
      <c r="C100" s="1"/>
      <c r="D100" s="1"/>
      <c r="E100" s="1"/>
      <c r="F100" s="1"/>
      <c r="H100" s="2" t="s">
        <v>45</v>
      </c>
      <c r="I100" s="267">
        <f>'Form 2C.1 - Design'!W140</f>
        <v>0</v>
      </c>
      <c r="J100" s="267"/>
      <c r="K100" s="267"/>
      <c r="L100" s="267"/>
      <c r="O100" s="64"/>
      <c r="P100" s="64"/>
      <c r="Q100" s="36"/>
      <c r="U100" s="66"/>
      <c r="AA100" s="2"/>
      <c r="AC100" s="2" t="s">
        <v>45</v>
      </c>
      <c r="AD100" s="257"/>
      <c r="AE100" s="257"/>
      <c r="AF100" s="257"/>
      <c r="AG100" s="257"/>
      <c r="AM100" s="72" t="s">
        <v>139</v>
      </c>
      <c r="AN100" s="96">
        <f>IF(ISBLANK(AD100),0,1)</f>
        <v>0</v>
      </c>
      <c r="AO100" s="55" t="s">
        <v>140</v>
      </c>
      <c r="AP100" s="96">
        <f>SUM(AN99:AN100)</f>
        <v>0</v>
      </c>
      <c r="AR100" s="72" t="s">
        <v>454</v>
      </c>
      <c r="AS100" s="96">
        <f>IF(ISBLANK(AD100),1,IF(ISTEXT(AD100)=TRUE,3,2))</f>
        <v>1</v>
      </c>
      <c r="BZ100" s="27"/>
    </row>
    <row r="101" spans="1:78" ht="4.95" customHeight="1" x14ac:dyDescent="0.3">
      <c r="B101" s="1"/>
      <c r="C101" s="1"/>
      <c r="D101" s="1"/>
      <c r="E101" s="1"/>
      <c r="F101" s="1"/>
      <c r="G101" s="1"/>
      <c r="J101" s="2"/>
      <c r="K101" s="2"/>
      <c r="L101" s="2"/>
      <c r="M101" s="36"/>
      <c r="N101" s="36"/>
      <c r="O101" s="36"/>
      <c r="P101" s="36"/>
      <c r="Q101" s="36"/>
      <c r="U101" s="2"/>
      <c r="Z101" s="2"/>
      <c r="AA101" s="2"/>
      <c r="AB101" s="2"/>
      <c r="AC101" s="36"/>
      <c r="AD101" s="36"/>
      <c r="AE101" s="36"/>
      <c r="AF101" s="36"/>
      <c r="AM101" s="72"/>
      <c r="AN101" s="22"/>
      <c r="AO101" s="22"/>
      <c r="BZ101" s="27"/>
    </row>
    <row r="102" spans="1:78" ht="15" customHeight="1" x14ac:dyDescent="0.3">
      <c r="A102" s="249" t="s">
        <v>502</v>
      </c>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N102" s="55"/>
      <c r="AO102" s="22"/>
      <c r="BZ102" s="27"/>
    </row>
    <row r="103" spans="1:78" ht="15" customHeight="1" x14ac:dyDescent="0.3">
      <c r="B103" s="1" t="s">
        <v>54</v>
      </c>
      <c r="C103" s="1"/>
      <c r="D103" s="1"/>
      <c r="E103" s="1"/>
      <c r="G103" s="2" t="s">
        <v>212</v>
      </c>
      <c r="H103" s="235">
        <f>'Form 2C.1 - Design'!L142</f>
        <v>0</v>
      </c>
      <c r="I103" s="235"/>
      <c r="J103" s="235"/>
      <c r="K103" s="235"/>
      <c r="L103" s="235"/>
      <c r="M103" s="235"/>
      <c r="N103" s="235"/>
      <c r="O103" s="235"/>
      <c r="P103" s="235"/>
      <c r="Q103" s="36"/>
      <c r="R103" s="36"/>
      <c r="S103" s="36"/>
      <c r="T103" s="84"/>
      <c r="U103" s="1" t="s">
        <v>55</v>
      </c>
      <c r="W103" s="1"/>
      <c r="X103" s="1"/>
      <c r="Z103" s="2" t="s">
        <v>212</v>
      </c>
      <c r="AA103" s="182"/>
      <c r="AB103" s="182"/>
      <c r="AC103" s="182"/>
      <c r="AD103" s="182"/>
      <c r="AE103" s="182"/>
      <c r="AF103" s="182"/>
      <c r="AG103" s="182"/>
      <c r="AH103" s="182"/>
      <c r="AI103" s="182"/>
      <c r="AJ103" s="36"/>
      <c r="AK103" s="36"/>
      <c r="AL103" s="36"/>
      <c r="AM103" s="96">
        <f>IF(ISBLANK(AA103),1,0)</f>
        <v>1</v>
      </c>
      <c r="AN103" s="55"/>
      <c r="AO103" s="22"/>
      <c r="BZ103" s="27"/>
    </row>
    <row r="104" spans="1:78" ht="15" customHeight="1" x14ac:dyDescent="0.3">
      <c r="B104" s="1"/>
      <c r="C104" s="1"/>
      <c r="D104" s="2" t="s">
        <v>163</v>
      </c>
      <c r="E104" s="246">
        <f>'Form 2C.1 - Design'!F144</f>
        <v>0</v>
      </c>
      <c r="F104" s="246"/>
      <c r="G104" s="28" t="s">
        <v>40</v>
      </c>
      <c r="K104" s="2" t="s">
        <v>159</v>
      </c>
      <c r="L104" s="243">
        <f>'Form 2C.1 - Design'!L144</f>
        <v>0</v>
      </c>
      <c r="M104" s="243"/>
      <c r="N104" s="28" t="s">
        <v>40</v>
      </c>
      <c r="T104" s="144"/>
      <c r="U104" s="2"/>
      <c r="W104" s="2" t="s">
        <v>163</v>
      </c>
      <c r="X104" s="181"/>
      <c r="Y104" s="181"/>
      <c r="Z104" s="28" t="s">
        <v>40</v>
      </c>
      <c r="AD104" s="2" t="s">
        <v>159</v>
      </c>
      <c r="AE104" s="179"/>
      <c r="AF104" s="179"/>
      <c r="AG104" s="28" t="s">
        <v>40</v>
      </c>
      <c r="AM104" s="96">
        <f>IF(ISBLANK(X104),1,0)</f>
        <v>1</v>
      </c>
      <c r="AN104" s="96">
        <f>IF(ISBLANK(AE104),1,0)</f>
        <v>1</v>
      </c>
      <c r="AO104" s="22"/>
      <c r="BZ104" s="27"/>
    </row>
    <row r="105" spans="1:78" ht="4.95" customHeight="1" x14ac:dyDescent="0.3">
      <c r="B105" s="1"/>
      <c r="C105" s="1"/>
      <c r="D105" s="2"/>
      <c r="E105" s="32"/>
      <c r="F105" s="32"/>
      <c r="K105" s="2"/>
      <c r="L105" s="32"/>
      <c r="M105" s="32"/>
      <c r="T105" s="144"/>
      <c r="U105" s="2"/>
      <c r="W105" s="2"/>
      <c r="X105" s="32"/>
      <c r="Y105" s="32"/>
      <c r="AD105" s="2"/>
      <c r="AE105" s="32"/>
      <c r="AF105" s="32"/>
      <c r="AN105" s="55"/>
      <c r="AO105" s="22"/>
      <c r="BZ105" s="27"/>
    </row>
    <row r="106" spans="1:78" ht="15" customHeight="1" x14ac:dyDescent="0.3">
      <c r="B106" s="1"/>
      <c r="C106" s="1"/>
      <c r="D106" s="2" t="s">
        <v>508</v>
      </c>
      <c r="E106" s="246">
        <f>'Form 2C.1 - Design'!R144</f>
        <v>0</v>
      </c>
      <c r="F106" s="246"/>
      <c r="G106" s="28" t="s">
        <v>40</v>
      </c>
      <c r="M106" s="2" t="s">
        <v>509</v>
      </c>
      <c r="N106" s="104">
        <f>'Form 2C.1 - Design'!AF144</f>
        <v>0</v>
      </c>
      <c r="O106" s="28" t="s">
        <v>117</v>
      </c>
      <c r="Q106" s="104">
        <f>'Form 2C.1 - Design'!AI144</f>
        <v>0</v>
      </c>
      <c r="R106" s="36" t="s">
        <v>137</v>
      </c>
      <c r="T106" s="144"/>
      <c r="W106" s="2" t="s">
        <v>508</v>
      </c>
      <c r="X106" s="181"/>
      <c r="Y106" s="181"/>
      <c r="Z106" s="28" t="s">
        <v>40</v>
      </c>
      <c r="AE106" s="2" t="s">
        <v>509</v>
      </c>
      <c r="AF106" s="62"/>
      <c r="AG106" s="28" t="s">
        <v>117</v>
      </c>
      <c r="AI106" s="62"/>
      <c r="AJ106" s="36" t="s">
        <v>137</v>
      </c>
      <c r="AM106" s="96">
        <f>IF(ISBLANK(X106),1,0)</f>
        <v>1</v>
      </c>
      <c r="AN106" s="96">
        <f>IF(AND(ISBLANK(AF106),ISBLANK(AI106)),1,0)</f>
        <v>1</v>
      </c>
      <c r="AO106" s="96">
        <f>IF(ISBLANK(AI106),1,2)</f>
        <v>1</v>
      </c>
      <c r="BZ106" s="27"/>
    </row>
    <row r="107" spans="1:78" ht="15" customHeight="1" x14ac:dyDescent="0.3">
      <c r="B107" s="1"/>
      <c r="C107" s="1"/>
      <c r="D107" s="1"/>
      <c r="E107" s="1"/>
      <c r="F107" s="1"/>
      <c r="G107" s="1"/>
      <c r="J107" s="2"/>
      <c r="K107" s="2"/>
      <c r="L107" s="2"/>
      <c r="M107" s="36"/>
      <c r="N107" s="36"/>
      <c r="O107" s="36"/>
      <c r="P107" s="36"/>
      <c r="Q107" s="36"/>
      <c r="U107" s="2"/>
      <c r="Z107" s="2"/>
      <c r="AA107" s="2"/>
      <c r="AB107" s="2"/>
      <c r="AC107" s="36"/>
      <c r="AD107" s="36"/>
      <c r="AE107" s="36"/>
      <c r="AF107" s="36"/>
      <c r="AM107" s="72"/>
      <c r="AN107" s="22"/>
      <c r="AO107" s="22"/>
      <c r="BZ107" s="27"/>
    </row>
    <row r="108" spans="1:78" ht="15" customHeight="1" x14ac:dyDescent="0.3">
      <c r="B108" s="198">
        <f>Tables!$F$13</f>
        <v>45931</v>
      </c>
      <c r="C108" s="198"/>
      <c r="D108" s="198"/>
      <c r="E108" s="198"/>
      <c r="F108" s="198"/>
      <c r="G108" s="198"/>
      <c r="H108" s="198"/>
      <c r="R108" s="188" t="s">
        <v>309</v>
      </c>
      <c r="S108" s="188"/>
      <c r="T108" s="188"/>
      <c r="U108" s="188"/>
      <c r="AK108" s="33"/>
      <c r="AM108" s="72"/>
      <c r="AN108" s="22"/>
      <c r="AO108" s="22"/>
      <c r="BZ108" s="27"/>
    </row>
    <row r="109" spans="1:78" ht="15" customHeight="1" x14ac:dyDescent="0.3">
      <c r="C109" s="2" t="s">
        <v>1</v>
      </c>
      <c r="D109" s="199">
        <f>IF(ISBLANK($E$7),"",$E$7)</f>
        <v>0</v>
      </c>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39"/>
      <c r="AB109" s="39"/>
      <c r="AC109" s="39"/>
      <c r="AF109" s="2" t="s">
        <v>19</v>
      </c>
      <c r="AG109" s="197">
        <f>$AF$7</f>
        <v>0</v>
      </c>
      <c r="AH109" s="197"/>
      <c r="AI109" s="197"/>
      <c r="AJ109" s="197"/>
      <c r="AK109" s="197"/>
      <c r="AM109" s="72"/>
      <c r="AN109" s="22"/>
      <c r="AO109" s="22"/>
      <c r="BZ109" s="27"/>
    </row>
    <row r="110" spans="1:78" ht="15" customHeight="1" x14ac:dyDescent="0.3">
      <c r="H110" s="40"/>
      <c r="I110" s="40"/>
      <c r="J110" s="2"/>
      <c r="K110" s="2"/>
      <c r="L110" s="2"/>
      <c r="M110" s="40"/>
      <c r="N110" s="39"/>
      <c r="O110" s="39"/>
      <c r="P110" s="39"/>
      <c r="Q110" s="39"/>
      <c r="R110" s="39"/>
      <c r="S110" s="39"/>
      <c r="T110" s="39"/>
      <c r="U110" s="39"/>
      <c r="V110" s="39"/>
      <c r="W110" s="39"/>
      <c r="X110" s="39"/>
      <c r="Y110" s="39"/>
      <c r="Z110" s="39"/>
      <c r="AA110" s="39"/>
      <c r="AB110" s="39"/>
      <c r="AC110" s="39"/>
      <c r="AF110" s="2" t="s">
        <v>32</v>
      </c>
      <c r="AG110" s="196">
        <f>IF(ISBLANK($AF$8),"",$AF$8)</f>
        <v>0</v>
      </c>
      <c r="AH110" s="196"/>
      <c r="AI110" s="196"/>
      <c r="AJ110" s="196"/>
      <c r="AK110" s="196"/>
      <c r="AM110" s="72"/>
      <c r="AN110" s="22"/>
      <c r="AO110" s="22"/>
      <c r="BZ110" s="27"/>
    </row>
    <row r="111" spans="1:78" ht="15" customHeight="1" x14ac:dyDescent="0.3">
      <c r="B111" s="1"/>
      <c r="C111" s="1"/>
      <c r="D111" s="1"/>
      <c r="E111" s="1"/>
      <c r="F111" s="1"/>
      <c r="G111" s="1"/>
      <c r="J111" s="2"/>
      <c r="K111" s="2"/>
      <c r="L111" s="2"/>
      <c r="M111" s="36"/>
      <c r="N111" s="36"/>
      <c r="O111" s="36"/>
      <c r="P111" s="36"/>
      <c r="Q111" s="36"/>
      <c r="U111" s="2"/>
      <c r="Z111" s="2"/>
      <c r="AA111" s="2"/>
      <c r="AB111" s="2"/>
      <c r="AC111" s="36"/>
      <c r="AD111" s="36"/>
      <c r="AE111" s="36"/>
      <c r="AF111" s="36"/>
      <c r="AM111" s="72"/>
      <c r="AN111" s="22"/>
      <c r="AO111" s="22"/>
      <c r="BZ111" s="27"/>
    </row>
    <row r="112" spans="1:78" ht="15" customHeight="1" x14ac:dyDescent="0.3">
      <c r="A112" s="255" t="s">
        <v>56</v>
      </c>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72"/>
    </row>
    <row r="113" spans="1:78" ht="15" customHeight="1" x14ac:dyDescent="0.3">
      <c r="B113" s="1" t="s">
        <v>54</v>
      </c>
      <c r="C113" s="1"/>
      <c r="D113" s="1"/>
      <c r="E113" s="1"/>
      <c r="F113" s="1"/>
      <c r="I113" s="32" t="s">
        <v>57</v>
      </c>
      <c r="J113" s="265">
        <f>'Form 2C.1 - Design'!W21</f>
        <v>0</v>
      </c>
      <c r="K113" s="265"/>
      <c r="L113" s="265"/>
      <c r="M113" s="28" t="s">
        <v>34</v>
      </c>
      <c r="U113" s="30"/>
      <c r="V113" s="1" t="s">
        <v>55</v>
      </c>
      <c r="W113" s="1"/>
      <c r="X113" s="1"/>
      <c r="AC113" s="32" t="s">
        <v>58</v>
      </c>
      <c r="AD113" s="189"/>
      <c r="AE113" s="189"/>
      <c r="AF113" s="189"/>
      <c r="AG113" s="28" t="s">
        <v>34</v>
      </c>
      <c r="AM113" s="72" t="s">
        <v>143</v>
      </c>
      <c r="AN113" s="96">
        <f>IF(OR(AD113&gt;J113,AD113=J113),1,2)</f>
        <v>1</v>
      </c>
      <c r="AO113" s="96">
        <f>IF(OR(J113=0,ISBLANK(AD113)),2,1)</f>
        <v>2</v>
      </c>
    </row>
    <row r="114" spans="1:78" ht="4.95" customHeight="1" x14ac:dyDescent="0.3">
      <c r="H114" s="40"/>
      <c r="I114" s="40"/>
      <c r="J114" s="2"/>
      <c r="K114" s="2"/>
      <c r="L114" s="2"/>
      <c r="M114" s="40"/>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V114" s="38"/>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row>
    <row r="115" spans="1:78" ht="15" customHeight="1" x14ac:dyDescent="0.3">
      <c r="A115" s="255" t="s">
        <v>425</v>
      </c>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57"/>
      <c r="AN115" s="57"/>
      <c r="AO115" s="57"/>
    </row>
    <row r="116" spans="1:78" ht="15" customHeight="1" x14ac:dyDescent="0.3">
      <c r="B116" s="1" t="s">
        <v>54</v>
      </c>
      <c r="C116" s="1"/>
      <c r="D116" s="1"/>
      <c r="E116" s="1"/>
      <c r="F116" s="1"/>
      <c r="H116" s="1"/>
      <c r="U116" s="30"/>
      <c r="V116" s="1" t="s">
        <v>55</v>
      </c>
      <c r="X116" s="1"/>
      <c r="Y116" s="1"/>
    </row>
    <row r="117" spans="1:78" ht="15" customHeight="1" x14ac:dyDescent="0.3">
      <c r="C117" s="4" t="s">
        <v>15</v>
      </c>
      <c r="G117" s="188" t="s">
        <v>16</v>
      </c>
      <c r="H117" s="188"/>
      <c r="I117" s="188"/>
      <c r="J117" s="188"/>
      <c r="K117" s="4"/>
      <c r="M117" s="28" t="s">
        <v>47</v>
      </c>
      <c r="U117" s="66"/>
      <c r="W117" s="4" t="s">
        <v>15</v>
      </c>
      <c r="X117" s="4"/>
      <c r="Y117" s="4"/>
      <c r="AA117" s="188" t="s">
        <v>16</v>
      </c>
      <c r="AB117" s="188"/>
      <c r="AC117" s="188"/>
      <c r="AD117" s="188"/>
      <c r="AG117" s="28" t="s">
        <v>47</v>
      </c>
    </row>
    <row r="118" spans="1:78" ht="13.95" customHeight="1" x14ac:dyDescent="0.3">
      <c r="B118" s="246">
        <f>'Form 2C.1 - Design'!C148</f>
        <v>0</v>
      </c>
      <c r="C118" s="246"/>
      <c r="D118" s="246"/>
      <c r="E118" s="28" t="s">
        <v>40</v>
      </c>
      <c r="G118" s="252">
        <f>'Form 2C.1 - Design'!H148</f>
        <v>0</v>
      </c>
      <c r="H118" s="252"/>
      <c r="I118" s="252"/>
      <c r="J118" s="252"/>
      <c r="K118" s="28" t="s">
        <v>36</v>
      </c>
      <c r="M118" s="252">
        <f>'Form 2C.1 - Design'!M148</f>
        <v>0</v>
      </c>
      <c r="N118" s="252"/>
      <c r="O118" s="252"/>
      <c r="P118" s="252"/>
      <c r="Q118" s="28" t="s">
        <v>34</v>
      </c>
      <c r="U118" s="66"/>
      <c r="V118" s="181"/>
      <c r="W118" s="181"/>
      <c r="X118" s="181"/>
      <c r="Y118" s="28" t="s">
        <v>40</v>
      </c>
      <c r="AA118" s="189"/>
      <c r="AB118" s="189"/>
      <c r="AC118" s="189"/>
      <c r="AD118" s="189"/>
      <c r="AE118" s="28" t="s">
        <v>36</v>
      </c>
      <c r="AG118" s="189"/>
      <c r="AH118" s="189"/>
      <c r="AI118" s="189"/>
      <c r="AJ118" s="189"/>
      <c r="AK118" s="28" t="s">
        <v>34</v>
      </c>
      <c r="AM118" s="95">
        <f>IF(ISBLANK(AA118),0,1)</f>
        <v>0</v>
      </c>
      <c r="AN118" s="95">
        <f>IF(ISBLANK(AG118),0,1)</f>
        <v>0</v>
      </c>
      <c r="AO118" s="95"/>
      <c r="AP118" s="96">
        <f t="shared" ref="AP118:AP131" si="2">IF(ISBLANK(V118),1,2)</f>
        <v>1</v>
      </c>
    </row>
    <row r="119" spans="1:78" ht="13.95" customHeight="1" x14ac:dyDescent="0.3">
      <c r="B119" s="243">
        <f>'Form 2C.1 - Design'!C149</f>
        <v>0</v>
      </c>
      <c r="C119" s="243"/>
      <c r="D119" s="243"/>
      <c r="E119" s="28" t="s">
        <v>40</v>
      </c>
      <c r="G119" s="206">
        <f>'Form 2C.1 - Design'!H149</f>
        <v>0</v>
      </c>
      <c r="H119" s="206"/>
      <c r="I119" s="206"/>
      <c r="J119" s="206"/>
      <c r="K119" s="28" t="s">
        <v>36</v>
      </c>
      <c r="M119" s="252">
        <f>'Form 2C.1 - Design'!M149</f>
        <v>0</v>
      </c>
      <c r="N119" s="252"/>
      <c r="O119" s="252"/>
      <c r="P119" s="252"/>
      <c r="Q119" s="28" t="s">
        <v>34</v>
      </c>
      <c r="U119" s="66"/>
      <c r="V119" s="179"/>
      <c r="W119" s="179"/>
      <c r="X119" s="179"/>
      <c r="Y119" s="28" t="s">
        <v>40</v>
      </c>
      <c r="AA119" s="187"/>
      <c r="AB119" s="187"/>
      <c r="AC119" s="187"/>
      <c r="AD119" s="187"/>
      <c r="AE119" s="28" t="s">
        <v>36</v>
      </c>
      <c r="AG119" s="187"/>
      <c r="AH119" s="187"/>
      <c r="AI119" s="187"/>
      <c r="AJ119" s="187"/>
      <c r="AK119" s="28" t="s">
        <v>34</v>
      </c>
      <c r="AP119" s="96">
        <f t="shared" si="2"/>
        <v>1</v>
      </c>
    </row>
    <row r="120" spans="1:78" ht="13.95" customHeight="1" x14ac:dyDescent="0.3">
      <c r="B120" s="243">
        <f>'Form 2C.1 - Design'!C150</f>
        <v>0</v>
      </c>
      <c r="C120" s="243"/>
      <c r="D120" s="243"/>
      <c r="E120" s="28" t="s">
        <v>40</v>
      </c>
      <c r="G120" s="206">
        <f>'Form 2C.1 - Design'!H150</f>
        <v>0</v>
      </c>
      <c r="H120" s="206"/>
      <c r="I120" s="206"/>
      <c r="J120" s="206"/>
      <c r="K120" s="28" t="s">
        <v>36</v>
      </c>
      <c r="M120" s="252">
        <f>'Form 2C.1 - Design'!M150</f>
        <v>0</v>
      </c>
      <c r="N120" s="252"/>
      <c r="O120" s="252"/>
      <c r="P120" s="252"/>
      <c r="Q120" s="28" t="s">
        <v>34</v>
      </c>
      <c r="U120" s="66"/>
      <c r="V120" s="179"/>
      <c r="W120" s="179"/>
      <c r="X120" s="179"/>
      <c r="Y120" s="28" t="s">
        <v>40</v>
      </c>
      <c r="AA120" s="187"/>
      <c r="AB120" s="187"/>
      <c r="AC120" s="187"/>
      <c r="AD120" s="187"/>
      <c r="AE120" s="28" t="s">
        <v>36</v>
      </c>
      <c r="AG120" s="187"/>
      <c r="AH120" s="187"/>
      <c r="AI120" s="187"/>
      <c r="AJ120" s="187"/>
      <c r="AK120" s="28" t="s">
        <v>34</v>
      </c>
      <c r="AP120" s="96">
        <f t="shared" si="2"/>
        <v>1</v>
      </c>
    </row>
    <row r="121" spans="1:78" ht="13.95" customHeight="1" x14ac:dyDescent="0.3">
      <c r="B121" s="243">
        <f>'Form 2C.1 - Design'!C151</f>
        <v>0</v>
      </c>
      <c r="C121" s="243"/>
      <c r="D121" s="243"/>
      <c r="E121" s="28" t="s">
        <v>40</v>
      </c>
      <c r="G121" s="206">
        <f>'Form 2C.1 - Design'!H151</f>
        <v>0</v>
      </c>
      <c r="H121" s="206"/>
      <c r="I121" s="206"/>
      <c r="J121" s="206"/>
      <c r="K121" s="28" t="s">
        <v>36</v>
      </c>
      <c r="M121" s="252">
        <f>'Form 2C.1 - Design'!M151</f>
        <v>0</v>
      </c>
      <c r="N121" s="252"/>
      <c r="O121" s="252"/>
      <c r="P121" s="252"/>
      <c r="Q121" s="28" t="s">
        <v>34</v>
      </c>
      <c r="U121" s="66"/>
      <c r="V121" s="179"/>
      <c r="W121" s="179"/>
      <c r="X121" s="179"/>
      <c r="Y121" s="28" t="s">
        <v>40</v>
      </c>
      <c r="AA121" s="187"/>
      <c r="AB121" s="187"/>
      <c r="AC121" s="187"/>
      <c r="AD121" s="187"/>
      <c r="AE121" s="28" t="s">
        <v>36</v>
      </c>
      <c r="AG121" s="187"/>
      <c r="AH121" s="187"/>
      <c r="AI121" s="187"/>
      <c r="AJ121" s="187"/>
      <c r="AK121" s="28" t="s">
        <v>34</v>
      </c>
      <c r="AP121" s="96">
        <f t="shared" si="2"/>
        <v>1</v>
      </c>
    </row>
    <row r="122" spans="1:78" ht="13.95" customHeight="1" x14ac:dyDescent="0.3">
      <c r="B122" s="243">
        <f>'Form 2C.1 - Design'!C152</f>
        <v>0</v>
      </c>
      <c r="C122" s="243"/>
      <c r="D122" s="243"/>
      <c r="E122" s="28" t="s">
        <v>40</v>
      </c>
      <c r="G122" s="206">
        <f>'Form 2C.1 - Design'!H152</f>
        <v>0</v>
      </c>
      <c r="H122" s="206"/>
      <c r="I122" s="206"/>
      <c r="J122" s="206"/>
      <c r="K122" s="28" t="s">
        <v>36</v>
      </c>
      <c r="M122" s="252">
        <f>'Form 2C.1 - Design'!M152</f>
        <v>0</v>
      </c>
      <c r="N122" s="252"/>
      <c r="O122" s="252"/>
      <c r="P122" s="252"/>
      <c r="Q122" s="28" t="s">
        <v>34</v>
      </c>
      <c r="U122" s="66"/>
      <c r="V122" s="179"/>
      <c r="W122" s="179"/>
      <c r="X122" s="179"/>
      <c r="Y122" s="28" t="s">
        <v>40</v>
      </c>
      <c r="AA122" s="187"/>
      <c r="AB122" s="187"/>
      <c r="AC122" s="187"/>
      <c r="AD122" s="187"/>
      <c r="AE122" s="28" t="s">
        <v>36</v>
      </c>
      <c r="AG122" s="187"/>
      <c r="AH122" s="187"/>
      <c r="AI122" s="187"/>
      <c r="AJ122" s="187"/>
      <c r="AK122" s="28" t="s">
        <v>34</v>
      </c>
      <c r="AP122" s="96">
        <f t="shared" si="2"/>
        <v>1</v>
      </c>
    </row>
    <row r="123" spans="1:78" ht="13.95" customHeight="1" x14ac:dyDescent="0.3">
      <c r="B123" s="243">
        <f>'Form 2C.1 - Design'!C153</f>
        <v>0</v>
      </c>
      <c r="C123" s="243"/>
      <c r="D123" s="243"/>
      <c r="E123" s="28" t="s">
        <v>40</v>
      </c>
      <c r="G123" s="206">
        <f>'Form 2C.1 - Design'!H153</f>
        <v>0</v>
      </c>
      <c r="H123" s="206"/>
      <c r="I123" s="206"/>
      <c r="J123" s="206"/>
      <c r="K123" s="28" t="s">
        <v>36</v>
      </c>
      <c r="M123" s="252">
        <f>'Form 2C.1 - Design'!M153</f>
        <v>0</v>
      </c>
      <c r="N123" s="252"/>
      <c r="O123" s="252"/>
      <c r="P123" s="252"/>
      <c r="Q123" s="28" t="s">
        <v>34</v>
      </c>
      <c r="U123" s="66"/>
      <c r="V123" s="179"/>
      <c r="W123" s="179"/>
      <c r="X123" s="179"/>
      <c r="Y123" s="28" t="s">
        <v>40</v>
      </c>
      <c r="AA123" s="187"/>
      <c r="AB123" s="187"/>
      <c r="AC123" s="187"/>
      <c r="AD123" s="187"/>
      <c r="AE123" s="28" t="s">
        <v>36</v>
      </c>
      <c r="AG123" s="187"/>
      <c r="AH123" s="187"/>
      <c r="AI123" s="187"/>
      <c r="AJ123" s="187"/>
      <c r="AK123" s="28" t="s">
        <v>34</v>
      </c>
      <c r="AP123" s="96">
        <f t="shared" si="2"/>
        <v>1</v>
      </c>
    </row>
    <row r="124" spans="1:78" ht="13.95" customHeight="1" x14ac:dyDescent="0.3">
      <c r="B124" s="243">
        <f>'Form 2C.1 - Design'!C154</f>
        <v>0</v>
      </c>
      <c r="C124" s="243"/>
      <c r="D124" s="243"/>
      <c r="E124" s="28" t="s">
        <v>40</v>
      </c>
      <c r="G124" s="206">
        <f>'Form 2C.1 - Design'!H154</f>
        <v>0</v>
      </c>
      <c r="H124" s="206"/>
      <c r="I124" s="206"/>
      <c r="J124" s="206"/>
      <c r="K124" s="28" t="s">
        <v>36</v>
      </c>
      <c r="M124" s="252">
        <f>'Form 2C.1 - Design'!M154</f>
        <v>0</v>
      </c>
      <c r="N124" s="252"/>
      <c r="O124" s="252"/>
      <c r="P124" s="252"/>
      <c r="Q124" s="28" t="s">
        <v>34</v>
      </c>
      <c r="U124" s="66"/>
      <c r="V124" s="179"/>
      <c r="W124" s="179"/>
      <c r="X124" s="179"/>
      <c r="Y124" s="28" t="s">
        <v>40</v>
      </c>
      <c r="AA124" s="187"/>
      <c r="AB124" s="187"/>
      <c r="AC124" s="187"/>
      <c r="AD124" s="187"/>
      <c r="AE124" s="28" t="s">
        <v>36</v>
      </c>
      <c r="AG124" s="187"/>
      <c r="AH124" s="187"/>
      <c r="AI124" s="187"/>
      <c r="AJ124" s="187"/>
      <c r="AK124" s="28" t="s">
        <v>34</v>
      </c>
      <c r="AP124" s="96">
        <f t="shared" si="2"/>
        <v>1</v>
      </c>
    </row>
    <row r="125" spans="1:78" ht="13.95" customHeight="1" x14ac:dyDescent="0.3">
      <c r="B125" s="243">
        <f>'Form 2C.1 - Design'!S148</f>
        <v>0</v>
      </c>
      <c r="C125" s="243"/>
      <c r="D125" s="243"/>
      <c r="E125" s="28" t="s">
        <v>40</v>
      </c>
      <c r="G125" s="206">
        <f>'Form 2C.1 - Design'!X148</f>
        <v>0</v>
      </c>
      <c r="H125" s="206"/>
      <c r="I125" s="206"/>
      <c r="J125" s="206"/>
      <c r="K125" s="28" t="s">
        <v>36</v>
      </c>
      <c r="M125" s="252">
        <f>'Form 2C.1 - Design'!AC148</f>
        <v>0</v>
      </c>
      <c r="N125" s="252"/>
      <c r="O125" s="252"/>
      <c r="P125" s="252"/>
      <c r="Q125" s="28" t="s">
        <v>34</v>
      </c>
      <c r="U125" s="66"/>
      <c r="V125" s="179"/>
      <c r="W125" s="179"/>
      <c r="X125" s="179"/>
      <c r="Y125" s="28" t="s">
        <v>40</v>
      </c>
      <c r="AA125" s="187"/>
      <c r="AB125" s="187"/>
      <c r="AC125" s="187"/>
      <c r="AD125" s="187"/>
      <c r="AE125" s="28" t="s">
        <v>36</v>
      </c>
      <c r="AG125" s="187"/>
      <c r="AH125" s="187"/>
      <c r="AI125" s="187"/>
      <c r="AJ125" s="187"/>
      <c r="AK125" s="28" t="s">
        <v>34</v>
      </c>
      <c r="AP125" s="96">
        <f t="shared" si="2"/>
        <v>1</v>
      </c>
    </row>
    <row r="126" spans="1:78" ht="13.95" customHeight="1" x14ac:dyDescent="0.3">
      <c r="B126" s="243">
        <f>'Form 2C.1 - Design'!S149</f>
        <v>0</v>
      </c>
      <c r="C126" s="243"/>
      <c r="D126" s="243"/>
      <c r="E126" s="28" t="s">
        <v>40</v>
      </c>
      <c r="G126" s="206">
        <f>'Form 2C.1 - Design'!X149</f>
        <v>0</v>
      </c>
      <c r="H126" s="206"/>
      <c r="I126" s="206"/>
      <c r="J126" s="206"/>
      <c r="K126" s="28" t="s">
        <v>36</v>
      </c>
      <c r="M126" s="252">
        <f>'Form 2C.1 - Design'!AC149</f>
        <v>0</v>
      </c>
      <c r="N126" s="252"/>
      <c r="O126" s="252"/>
      <c r="P126" s="252"/>
      <c r="Q126" s="28" t="s">
        <v>34</v>
      </c>
      <c r="U126" s="66"/>
      <c r="V126" s="179"/>
      <c r="W126" s="179"/>
      <c r="X126" s="179"/>
      <c r="Y126" s="28" t="s">
        <v>40</v>
      </c>
      <c r="AA126" s="187"/>
      <c r="AB126" s="187"/>
      <c r="AC126" s="187"/>
      <c r="AD126" s="187"/>
      <c r="AE126" s="28" t="s">
        <v>36</v>
      </c>
      <c r="AG126" s="187"/>
      <c r="AH126" s="187"/>
      <c r="AI126" s="187"/>
      <c r="AJ126" s="187"/>
      <c r="AK126" s="28" t="s">
        <v>34</v>
      </c>
      <c r="AP126" s="96">
        <f t="shared" si="2"/>
        <v>1</v>
      </c>
    </row>
    <row r="127" spans="1:78" ht="13.95" customHeight="1" x14ac:dyDescent="0.3">
      <c r="B127" s="243">
        <f>'Form 2C.1 - Design'!S150</f>
        <v>0</v>
      </c>
      <c r="C127" s="243"/>
      <c r="D127" s="243"/>
      <c r="E127" s="28" t="s">
        <v>40</v>
      </c>
      <c r="G127" s="206">
        <f>'Form 2C.1 - Design'!X150</f>
        <v>0</v>
      </c>
      <c r="H127" s="206"/>
      <c r="I127" s="206"/>
      <c r="J127" s="206"/>
      <c r="K127" s="28" t="s">
        <v>36</v>
      </c>
      <c r="M127" s="252">
        <f>'Form 2C.1 - Design'!AC150</f>
        <v>0</v>
      </c>
      <c r="N127" s="252"/>
      <c r="O127" s="252"/>
      <c r="P127" s="252"/>
      <c r="Q127" s="28" t="s">
        <v>34</v>
      </c>
      <c r="U127" s="66"/>
      <c r="V127" s="179"/>
      <c r="W127" s="179"/>
      <c r="X127" s="179"/>
      <c r="Y127" s="28" t="s">
        <v>40</v>
      </c>
      <c r="AA127" s="187"/>
      <c r="AB127" s="187"/>
      <c r="AC127" s="187"/>
      <c r="AD127" s="187"/>
      <c r="AE127" s="28" t="s">
        <v>36</v>
      </c>
      <c r="AG127" s="187"/>
      <c r="AH127" s="187"/>
      <c r="AI127" s="187"/>
      <c r="AJ127" s="187"/>
      <c r="AK127" s="28" t="s">
        <v>34</v>
      </c>
      <c r="AP127" s="96">
        <f t="shared" si="2"/>
        <v>1</v>
      </c>
    </row>
    <row r="128" spans="1:78" ht="13.95" customHeight="1" x14ac:dyDescent="0.3">
      <c r="B128" s="243">
        <f>'Form 2C.1 - Design'!S151</f>
        <v>0</v>
      </c>
      <c r="C128" s="243"/>
      <c r="D128" s="243"/>
      <c r="E128" s="28" t="s">
        <v>40</v>
      </c>
      <c r="G128" s="206">
        <f>'Form 2C.1 - Design'!X151</f>
        <v>0</v>
      </c>
      <c r="H128" s="206"/>
      <c r="I128" s="206"/>
      <c r="J128" s="206"/>
      <c r="K128" s="28" t="s">
        <v>36</v>
      </c>
      <c r="M128" s="252">
        <f>'Form 2C.1 - Design'!AC151</f>
        <v>0</v>
      </c>
      <c r="N128" s="252"/>
      <c r="O128" s="252"/>
      <c r="P128" s="252"/>
      <c r="Q128" s="28" t="s">
        <v>34</v>
      </c>
      <c r="U128" s="66"/>
      <c r="V128" s="179"/>
      <c r="W128" s="179"/>
      <c r="X128" s="179"/>
      <c r="Y128" s="28" t="s">
        <v>40</v>
      </c>
      <c r="AA128" s="187"/>
      <c r="AB128" s="187"/>
      <c r="AC128" s="187"/>
      <c r="AD128" s="187"/>
      <c r="AE128" s="28" t="s">
        <v>36</v>
      </c>
      <c r="AG128" s="187"/>
      <c r="AH128" s="187"/>
      <c r="AI128" s="187"/>
      <c r="AJ128" s="187"/>
      <c r="AK128" s="28" t="s">
        <v>34</v>
      </c>
      <c r="AP128" s="96">
        <f t="shared" si="2"/>
        <v>1</v>
      </c>
    </row>
    <row r="129" spans="1:46" ht="13.95" customHeight="1" x14ac:dyDescent="0.3">
      <c r="B129" s="243">
        <f>'Form 2C.1 - Design'!S152</f>
        <v>0</v>
      </c>
      <c r="C129" s="243"/>
      <c r="D129" s="243"/>
      <c r="E129" s="28" t="s">
        <v>40</v>
      </c>
      <c r="G129" s="206">
        <f>'Form 2C.1 - Design'!X152</f>
        <v>0</v>
      </c>
      <c r="H129" s="206"/>
      <c r="I129" s="206"/>
      <c r="J129" s="206"/>
      <c r="K129" s="28" t="s">
        <v>36</v>
      </c>
      <c r="M129" s="252">
        <f>'Form 2C.1 - Design'!AC152</f>
        <v>0</v>
      </c>
      <c r="N129" s="252"/>
      <c r="O129" s="252"/>
      <c r="P129" s="252"/>
      <c r="Q129" s="28" t="s">
        <v>34</v>
      </c>
      <c r="U129" s="66"/>
      <c r="V129" s="179"/>
      <c r="W129" s="179"/>
      <c r="X129" s="179"/>
      <c r="Y129" s="28" t="s">
        <v>40</v>
      </c>
      <c r="AA129" s="187"/>
      <c r="AB129" s="187"/>
      <c r="AC129" s="187"/>
      <c r="AD129" s="187"/>
      <c r="AE129" s="28" t="s">
        <v>36</v>
      </c>
      <c r="AG129" s="187"/>
      <c r="AH129" s="187"/>
      <c r="AI129" s="187"/>
      <c r="AJ129" s="187"/>
      <c r="AK129" s="28" t="s">
        <v>34</v>
      </c>
      <c r="AP129" s="96">
        <f t="shared" si="2"/>
        <v>1</v>
      </c>
    </row>
    <row r="130" spans="1:46" ht="13.95" customHeight="1" x14ac:dyDescent="0.3">
      <c r="B130" s="243">
        <f>'Form 2C.1 - Design'!S153</f>
        <v>0</v>
      </c>
      <c r="C130" s="243"/>
      <c r="D130" s="243"/>
      <c r="E130" s="28" t="s">
        <v>40</v>
      </c>
      <c r="G130" s="206">
        <f>'Form 2C.1 - Design'!X153</f>
        <v>0</v>
      </c>
      <c r="H130" s="206"/>
      <c r="I130" s="206"/>
      <c r="J130" s="206"/>
      <c r="K130" s="28" t="s">
        <v>36</v>
      </c>
      <c r="M130" s="252">
        <f>'Form 2C.1 - Design'!AC153</f>
        <v>0</v>
      </c>
      <c r="N130" s="252"/>
      <c r="O130" s="252"/>
      <c r="P130" s="252"/>
      <c r="Q130" s="28" t="s">
        <v>34</v>
      </c>
      <c r="U130" s="66"/>
      <c r="V130" s="179"/>
      <c r="W130" s="179"/>
      <c r="X130" s="179"/>
      <c r="Y130" s="28" t="s">
        <v>40</v>
      </c>
      <c r="AA130" s="187"/>
      <c r="AB130" s="187"/>
      <c r="AC130" s="187"/>
      <c r="AD130" s="187"/>
      <c r="AE130" s="28" t="s">
        <v>36</v>
      </c>
      <c r="AG130" s="187"/>
      <c r="AH130" s="187"/>
      <c r="AI130" s="187"/>
      <c r="AJ130" s="187"/>
      <c r="AK130" s="28" t="s">
        <v>34</v>
      </c>
      <c r="AP130" s="96">
        <f t="shared" si="2"/>
        <v>1</v>
      </c>
    </row>
    <row r="131" spans="1:46" ht="13.95" customHeight="1" x14ac:dyDescent="0.3">
      <c r="B131" s="243">
        <f>'Form 2C.1 - Design'!S154</f>
        <v>0</v>
      </c>
      <c r="C131" s="243"/>
      <c r="D131" s="243"/>
      <c r="E131" s="28" t="s">
        <v>40</v>
      </c>
      <c r="G131" s="206">
        <f>'Form 2C.1 - Design'!X154</f>
        <v>0</v>
      </c>
      <c r="H131" s="206"/>
      <c r="I131" s="206"/>
      <c r="J131" s="206"/>
      <c r="K131" s="28" t="s">
        <v>36</v>
      </c>
      <c r="M131" s="252">
        <f>'Form 2C.1 - Design'!AC154</f>
        <v>0</v>
      </c>
      <c r="N131" s="252"/>
      <c r="O131" s="252"/>
      <c r="P131" s="252"/>
      <c r="Q131" s="28" t="s">
        <v>34</v>
      </c>
      <c r="U131" s="66"/>
      <c r="V131" s="179"/>
      <c r="W131" s="179"/>
      <c r="X131" s="179"/>
      <c r="Y131" s="28" t="s">
        <v>40</v>
      </c>
      <c r="AA131" s="187"/>
      <c r="AB131" s="187"/>
      <c r="AC131" s="187"/>
      <c r="AD131" s="187"/>
      <c r="AE131" s="28" t="s">
        <v>36</v>
      </c>
      <c r="AG131" s="187"/>
      <c r="AH131" s="187"/>
      <c r="AI131" s="187"/>
      <c r="AJ131" s="187"/>
      <c r="AK131" s="28" t="s">
        <v>34</v>
      </c>
      <c r="AP131" s="96">
        <f t="shared" si="2"/>
        <v>1</v>
      </c>
    </row>
    <row r="132" spans="1:46" ht="4.95" customHeight="1" x14ac:dyDescent="0.3">
      <c r="H132" s="33"/>
      <c r="J132" s="37"/>
      <c r="K132" s="37"/>
      <c r="L132" s="37"/>
      <c r="N132" s="41"/>
      <c r="O132" s="41"/>
      <c r="P132" s="41"/>
      <c r="Q132" s="41"/>
      <c r="W132" s="33"/>
      <c r="X132" s="33"/>
      <c r="Y132" s="33"/>
      <c r="AA132" s="37"/>
      <c r="AB132" s="37"/>
      <c r="AC132" s="37"/>
      <c r="AE132" s="41"/>
      <c r="AF132" s="41"/>
      <c r="AG132" s="41"/>
      <c r="AH132" s="41"/>
    </row>
    <row r="133" spans="1:46" ht="15" customHeight="1" x14ac:dyDescent="0.3">
      <c r="A133" s="255" t="s">
        <v>237</v>
      </c>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57"/>
      <c r="AN133" s="57"/>
      <c r="AO133" s="57"/>
      <c r="AQ133" s="100">
        <f>Tables!F26</f>
        <v>6</v>
      </c>
      <c r="AR133" s="13" t="s">
        <v>297</v>
      </c>
    </row>
    <row r="134" spans="1:46" ht="30" customHeight="1" x14ac:dyDescent="0.3">
      <c r="B134" s="1" t="s">
        <v>54</v>
      </c>
      <c r="I134" s="260" t="s">
        <v>119</v>
      </c>
      <c r="J134" s="260"/>
      <c r="K134" s="260"/>
      <c r="L134" s="128"/>
      <c r="M134" s="260" t="s">
        <v>243</v>
      </c>
      <c r="N134" s="260"/>
      <c r="O134" s="260"/>
      <c r="Q134" s="260" t="s">
        <v>244</v>
      </c>
      <c r="R134" s="260"/>
      <c r="S134" s="260"/>
      <c r="U134" s="260" t="s">
        <v>60</v>
      </c>
      <c r="V134" s="260"/>
      <c r="W134" s="260"/>
      <c r="Y134" s="260" t="s">
        <v>473</v>
      </c>
      <c r="Z134" s="260"/>
      <c r="AA134" s="260"/>
      <c r="AB134" s="260"/>
      <c r="AD134" s="260" t="s">
        <v>474</v>
      </c>
      <c r="AE134" s="260"/>
      <c r="AF134" s="260"/>
      <c r="AH134" s="260" t="s">
        <v>122</v>
      </c>
      <c r="AI134" s="260"/>
      <c r="AJ134" s="260"/>
      <c r="AK134" s="260"/>
      <c r="AM134" s="13" t="s">
        <v>382</v>
      </c>
      <c r="AN134" s="13" t="s">
        <v>380</v>
      </c>
      <c r="AO134" s="13" t="s">
        <v>437</v>
      </c>
    </row>
    <row r="135" spans="1:46" ht="14.55" customHeight="1" x14ac:dyDescent="0.3">
      <c r="C135" s="210">
        <f>Tables!$F$16</f>
        <v>6.02</v>
      </c>
      <c r="D135" s="210"/>
      <c r="G135" s="2" t="str">
        <f>Tables!$D$16</f>
        <v>(2-yr)</v>
      </c>
      <c r="I135" s="208">
        <f>'Form 2C.1 - Design'!I162</f>
        <v>0</v>
      </c>
      <c r="J135" s="208"/>
      <c r="K135" s="208"/>
      <c r="L135" s="128"/>
      <c r="M135" s="232">
        <f>'Form 2C.1 - Design'!M162</f>
        <v>0</v>
      </c>
      <c r="N135" s="232"/>
      <c r="O135" s="232"/>
      <c r="Q135" s="232">
        <f>'Form 2C.1 - Design'!Q162</f>
        <v>0</v>
      </c>
      <c r="R135" s="232"/>
      <c r="S135" s="232"/>
      <c r="U135" s="232">
        <f>'Form 2C.1 - Design'!U162</f>
        <v>0</v>
      </c>
      <c r="V135" s="232"/>
      <c r="W135" s="232"/>
      <c r="Y135" s="232">
        <f>'Form 2C.1 - Design'!Y162</f>
        <v>0</v>
      </c>
      <c r="Z135" s="232"/>
      <c r="AA135" s="232"/>
      <c r="AB135" s="232"/>
      <c r="AD135" s="232">
        <f>'Form 2C.1 - Design'!AC162</f>
        <v>0</v>
      </c>
      <c r="AE135" s="232"/>
      <c r="AF135" s="232"/>
      <c r="AH135" s="232">
        <f>'Form 2C.1 - Design'!AG162</f>
        <v>0</v>
      </c>
      <c r="AI135" s="232"/>
      <c r="AJ135" s="232"/>
      <c r="AK135" s="232"/>
      <c r="AM135" s="96">
        <f t="shared" ref="AM135:AM140" si="3">IF(AH135&gt;I135,1,0)</f>
        <v>0</v>
      </c>
      <c r="AN135" s="96">
        <f>IF(OR($AR$136=0,$AR$138=2),0,IF($AH135&gt;$AR$136,1,0))</f>
        <v>0</v>
      </c>
      <c r="AO135" s="96">
        <f>IF(OR($AR$137=0,$AR$138=2),0,IF($AH135&gt;$AR$137,1,0))</f>
        <v>0</v>
      </c>
      <c r="AQ135" s="22" t="s">
        <v>433</v>
      </c>
      <c r="AR135" s="22" t="s">
        <v>144</v>
      </c>
    </row>
    <row r="136" spans="1:46" ht="14.55" customHeight="1" x14ac:dyDescent="0.3">
      <c r="C136" s="210">
        <f>Tables!$F$17</f>
        <v>7.68</v>
      </c>
      <c r="D136" s="210"/>
      <c r="G136" s="2" t="str">
        <f>Tables!$D$17</f>
        <v>(5-yr)</v>
      </c>
      <c r="I136" s="262">
        <f>'Form 2C.1 - Design'!I163</f>
        <v>0</v>
      </c>
      <c r="J136" s="262"/>
      <c r="K136" s="262"/>
      <c r="L136" s="128"/>
      <c r="M136" s="261">
        <f>'Form 2C.1 - Design'!M163</f>
        <v>0</v>
      </c>
      <c r="N136" s="261"/>
      <c r="O136" s="261"/>
      <c r="Q136" s="261">
        <f>'Form 2C.1 - Design'!Q163</f>
        <v>0</v>
      </c>
      <c r="R136" s="261"/>
      <c r="S136" s="261"/>
      <c r="U136" s="261">
        <f>'Form 2C.1 - Design'!U163</f>
        <v>0</v>
      </c>
      <c r="V136" s="261"/>
      <c r="W136" s="261"/>
      <c r="Y136" s="232">
        <f>'Form 2C.1 - Design'!Y163</f>
        <v>0</v>
      </c>
      <c r="Z136" s="232"/>
      <c r="AA136" s="232"/>
      <c r="AB136" s="232"/>
      <c r="AD136" s="261">
        <f>'Form 2C.1 - Design'!AC163</f>
        <v>0</v>
      </c>
      <c r="AE136" s="261"/>
      <c r="AF136" s="261"/>
      <c r="AH136" s="261">
        <f>'Form 2C.1 - Design'!AG163</f>
        <v>0</v>
      </c>
      <c r="AI136" s="261"/>
      <c r="AJ136" s="261"/>
      <c r="AK136" s="261"/>
      <c r="AM136" s="96">
        <f t="shared" si="3"/>
        <v>0</v>
      </c>
      <c r="AN136" s="96">
        <f t="shared" ref="AN136:AN140" si="4">IF(OR($AR$136=0,$AR$138=2),0,IF($AH136&gt;$AR$136,1,0))</f>
        <v>0</v>
      </c>
      <c r="AO136" s="96">
        <f t="shared" ref="AO136:AO140" si="5">IF(OR($AR$137=0,$AR$138=2),0,IF($AH136&gt;$AR$137,1,0))</f>
        <v>0</v>
      </c>
      <c r="AP136" s="96">
        <f>IF(AQ136="Yes",'Form 2C.1 - Design'!AM180,1)</f>
        <v>1</v>
      </c>
      <c r="AQ136" s="96" t="str">
        <f>'Form 2C.1 - Design'!AO180</f>
        <v>No</v>
      </c>
      <c r="AR136" s="100">
        <f>'Form 2C.1 - Design'!AN180</f>
        <v>0</v>
      </c>
      <c r="AS136" s="55" t="s">
        <v>380</v>
      </c>
      <c r="AT136" s="55"/>
    </row>
    <row r="137" spans="1:46" ht="14.55" customHeight="1" x14ac:dyDescent="0.3">
      <c r="C137" s="210">
        <f>Tables!$F$18</f>
        <v>9.26</v>
      </c>
      <c r="D137" s="210"/>
      <c r="G137" s="2" t="str">
        <f>Tables!$D$18</f>
        <v>(10-yr)</v>
      </c>
      <c r="I137" s="262">
        <f>'Form 2C.1 - Design'!I164</f>
        <v>0</v>
      </c>
      <c r="J137" s="262"/>
      <c r="K137" s="262"/>
      <c r="L137" s="128"/>
      <c r="M137" s="261">
        <f>'Form 2C.1 - Design'!M164</f>
        <v>0</v>
      </c>
      <c r="N137" s="261"/>
      <c r="O137" s="261"/>
      <c r="Q137" s="261">
        <f>'Form 2C.1 - Design'!Q164</f>
        <v>0</v>
      </c>
      <c r="R137" s="261"/>
      <c r="S137" s="261"/>
      <c r="U137" s="261">
        <f>'Form 2C.1 - Design'!U164</f>
        <v>0</v>
      </c>
      <c r="V137" s="261"/>
      <c r="W137" s="261"/>
      <c r="Y137" s="232">
        <f>'Form 2C.1 - Design'!Y164</f>
        <v>0</v>
      </c>
      <c r="Z137" s="232"/>
      <c r="AA137" s="232"/>
      <c r="AB137" s="232"/>
      <c r="AD137" s="261">
        <f>'Form 2C.1 - Design'!AC164</f>
        <v>0</v>
      </c>
      <c r="AE137" s="261"/>
      <c r="AF137" s="261"/>
      <c r="AH137" s="261">
        <f>'Form 2C.1 - Design'!AG164</f>
        <v>0</v>
      </c>
      <c r="AI137" s="261"/>
      <c r="AJ137" s="261"/>
      <c r="AK137" s="261"/>
      <c r="AM137" s="96">
        <f t="shared" si="3"/>
        <v>0</v>
      </c>
      <c r="AN137" s="96">
        <f t="shared" si="4"/>
        <v>0</v>
      </c>
      <c r="AO137" s="96">
        <f t="shared" si="5"/>
        <v>0</v>
      </c>
      <c r="AP137" s="96">
        <f>IF(AQ137="Yes",'Form 2C.1 - Design'!AM182,1)</f>
        <v>1</v>
      </c>
      <c r="AQ137" s="96" t="str">
        <f>'Form 2C.1 - Design'!AO182</f>
        <v>No</v>
      </c>
      <c r="AR137" s="100">
        <f>'Form 2C.1 - Design'!AN182</f>
        <v>0</v>
      </c>
      <c r="AS137" s="55" t="s">
        <v>386</v>
      </c>
      <c r="AT137" s="55"/>
    </row>
    <row r="138" spans="1:46" ht="14.55" customHeight="1" x14ac:dyDescent="0.3">
      <c r="C138" s="210">
        <f>Tables!$F$19</f>
        <v>11.7</v>
      </c>
      <c r="D138" s="210"/>
      <c r="G138" s="2" t="str">
        <f>Tables!$D$19</f>
        <v>(25-yr)</v>
      </c>
      <c r="I138" s="262">
        <f>'Form 2C.1 - Design'!I165</f>
        <v>0</v>
      </c>
      <c r="J138" s="262"/>
      <c r="K138" s="262"/>
      <c r="L138" s="128"/>
      <c r="M138" s="261">
        <f>'Form 2C.1 - Design'!M165</f>
        <v>0</v>
      </c>
      <c r="N138" s="261"/>
      <c r="O138" s="261"/>
      <c r="Q138" s="261">
        <f>'Form 2C.1 - Design'!Q165</f>
        <v>0</v>
      </c>
      <c r="R138" s="261"/>
      <c r="S138" s="261"/>
      <c r="U138" s="261">
        <f>'Form 2C.1 - Design'!U165</f>
        <v>0</v>
      </c>
      <c r="V138" s="261"/>
      <c r="W138" s="261"/>
      <c r="Y138" s="232">
        <f>'Form 2C.1 - Design'!Y165</f>
        <v>0</v>
      </c>
      <c r="Z138" s="232"/>
      <c r="AA138" s="232"/>
      <c r="AB138" s="232"/>
      <c r="AD138" s="261">
        <f>'Form 2C.1 - Design'!AC165</f>
        <v>0</v>
      </c>
      <c r="AE138" s="261"/>
      <c r="AF138" s="261"/>
      <c r="AH138" s="261">
        <f>'Form 2C.1 - Design'!AG165</f>
        <v>0</v>
      </c>
      <c r="AI138" s="261"/>
      <c r="AJ138" s="261"/>
      <c r="AK138" s="261"/>
      <c r="AM138" s="96">
        <f t="shared" si="3"/>
        <v>0</v>
      </c>
      <c r="AN138" s="96">
        <f t="shared" si="4"/>
        <v>0</v>
      </c>
      <c r="AO138" s="96">
        <f t="shared" si="5"/>
        <v>0</v>
      </c>
      <c r="AP138" s="100">
        <f>'Form 2C.1 - Design'!AN180</f>
        <v>0</v>
      </c>
      <c r="AR138" s="96">
        <f>'Form 2C.1 - Design'!AN198</f>
        <v>1</v>
      </c>
      <c r="AS138" s="13" t="s">
        <v>480</v>
      </c>
    </row>
    <row r="139" spans="1:46" ht="14.55" customHeight="1" x14ac:dyDescent="0.3">
      <c r="C139" s="210">
        <f>Tables!$F$20</f>
        <v>13.9</v>
      </c>
      <c r="D139" s="210"/>
      <c r="G139" s="2" t="str">
        <f>Tables!$D$20</f>
        <v>(50-yr)</v>
      </c>
      <c r="I139" s="262">
        <f>'Form 2C.1 - Design'!I166</f>
        <v>0</v>
      </c>
      <c r="J139" s="262"/>
      <c r="K139" s="262"/>
      <c r="L139" s="128"/>
      <c r="M139" s="261">
        <f>'Form 2C.1 - Design'!M166</f>
        <v>0</v>
      </c>
      <c r="N139" s="261"/>
      <c r="O139" s="261"/>
      <c r="Q139" s="261">
        <f>'Form 2C.1 - Design'!Q166</f>
        <v>0</v>
      </c>
      <c r="R139" s="261"/>
      <c r="S139" s="261"/>
      <c r="U139" s="261">
        <f>'Form 2C.1 - Design'!U166</f>
        <v>0</v>
      </c>
      <c r="V139" s="261"/>
      <c r="W139" s="261"/>
      <c r="Y139" s="232">
        <f>'Form 2C.1 - Design'!Y166</f>
        <v>0</v>
      </c>
      <c r="Z139" s="232"/>
      <c r="AA139" s="232"/>
      <c r="AB139" s="232"/>
      <c r="AD139" s="261">
        <f>'Form 2C.1 - Design'!AC166</f>
        <v>0</v>
      </c>
      <c r="AE139" s="261"/>
      <c r="AF139" s="261"/>
      <c r="AH139" s="261">
        <f>'Form 2C.1 - Design'!AG166</f>
        <v>0</v>
      </c>
      <c r="AI139" s="261"/>
      <c r="AJ139" s="261"/>
      <c r="AK139" s="261"/>
      <c r="AM139" s="96">
        <f t="shared" si="3"/>
        <v>0</v>
      </c>
      <c r="AN139" s="96">
        <f t="shared" si="4"/>
        <v>0</v>
      </c>
      <c r="AO139" s="96">
        <f t="shared" si="5"/>
        <v>0</v>
      </c>
      <c r="AP139" s="96" t="str">
        <f>'Form 2C.1 - Design'!AO180</f>
        <v>No</v>
      </c>
    </row>
    <row r="140" spans="1:46" ht="14.55" customHeight="1" x14ac:dyDescent="0.3">
      <c r="C140" s="210">
        <f>Tables!$F$21</f>
        <v>16.3</v>
      </c>
      <c r="D140" s="210"/>
      <c r="G140" s="2" t="str">
        <f>Tables!$D$21</f>
        <v>(100-yr)</v>
      </c>
      <c r="I140" s="262">
        <f>'Form 2C.1 - Design'!I167</f>
        <v>0</v>
      </c>
      <c r="J140" s="262"/>
      <c r="K140" s="262"/>
      <c r="L140" s="128"/>
      <c r="M140" s="261">
        <f>'Form 2C.1 - Design'!M167</f>
        <v>0</v>
      </c>
      <c r="N140" s="261"/>
      <c r="O140" s="261"/>
      <c r="Q140" s="261">
        <f>'Form 2C.1 - Design'!Q167</f>
        <v>0</v>
      </c>
      <c r="R140" s="261"/>
      <c r="S140" s="261"/>
      <c r="U140" s="261">
        <f>'Form 2C.1 - Design'!U167</f>
        <v>0</v>
      </c>
      <c r="V140" s="261"/>
      <c r="W140" s="261"/>
      <c r="Y140" s="232">
        <f>'Form 2C.1 - Design'!Y167</f>
        <v>0</v>
      </c>
      <c r="Z140" s="232"/>
      <c r="AA140" s="232"/>
      <c r="AB140" s="232"/>
      <c r="AD140" s="261">
        <f>'Form 2C.1 - Design'!AC167</f>
        <v>0</v>
      </c>
      <c r="AE140" s="261"/>
      <c r="AF140" s="261"/>
      <c r="AH140" s="261">
        <f>'Form 2C.1 - Design'!AG167</f>
        <v>0</v>
      </c>
      <c r="AI140" s="261"/>
      <c r="AJ140" s="261"/>
      <c r="AK140" s="261"/>
      <c r="AM140" s="96">
        <f t="shared" si="3"/>
        <v>0</v>
      </c>
      <c r="AN140" s="96">
        <f t="shared" si="4"/>
        <v>0</v>
      </c>
      <c r="AO140" s="96">
        <f t="shared" si="5"/>
        <v>0</v>
      </c>
    </row>
    <row r="141" spans="1:46" ht="30" customHeight="1" x14ac:dyDescent="0.3">
      <c r="B141" s="1" t="s">
        <v>55</v>
      </c>
      <c r="I141" s="268" t="s">
        <v>119</v>
      </c>
      <c r="J141" s="268"/>
      <c r="K141" s="268"/>
      <c r="L141" s="128"/>
      <c r="M141" s="268" t="s">
        <v>120</v>
      </c>
      <c r="N141" s="268"/>
      <c r="O141" s="268"/>
      <c r="Q141" s="268" t="s">
        <v>121</v>
      </c>
      <c r="R141" s="268"/>
      <c r="S141" s="268"/>
      <c r="U141" s="268" t="s">
        <v>60</v>
      </c>
      <c r="V141" s="268"/>
      <c r="W141" s="268"/>
      <c r="Y141" s="260" t="s">
        <v>473</v>
      </c>
      <c r="Z141" s="260"/>
      <c r="AA141" s="260"/>
      <c r="AB141" s="260"/>
      <c r="AD141" s="260" t="s">
        <v>474</v>
      </c>
      <c r="AE141" s="260"/>
      <c r="AF141" s="260"/>
      <c r="AH141" s="268" t="s">
        <v>122</v>
      </c>
      <c r="AI141" s="268"/>
      <c r="AJ141" s="268"/>
      <c r="AK141" s="268"/>
      <c r="AM141" s="96">
        <f>SUM(AM142:AM147)</f>
        <v>6</v>
      </c>
      <c r="AN141" s="96">
        <f>SUM(AN142:AN147)</f>
        <v>6</v>
      </c>
      <c r="AO141" s="96">
        <f>SUM(AO142:AO145)</f>
        <v>4</v>
      </c>
      <c r="AP141" s="96">
        <f>SUM(AP142:AP147)</f>
        <v>6</v>
      </c>
      <c r="AQ141" s="96">
        <f>SUM(AQ142:AQ147)</f>
        <v>0</v>
      </c>
      <c r="AR141" s="96">
        <f>SUM(AR142:AR147)</f>
        <v>0</v>
      </c>
      <c r="AS141" s="96">
        <f>SUM(AS142:AS147)</f>
        <v>6</v>
      </c>
      <c r="AT141" s="96">
        <f>SUM(AT142:AT147)</f>
        <v>6</v>
      </c>
    </row>
    <row r="142" spans="1:46" ht="14.55" customHeight="1" x14ac:dyDescent="0.3">
      <c r="C142" s="210">
        <f>Tables!$F$16</f>
        <v>6.02</v>
      </c>
      <c r="D142" s="210"/>
      <c r="G142" s="2" t="str">
        <f>Tables!$D$16</f>
        <v>(2-yr)</v>
      </c>
      <c r="I142" s="185"/>
      <c r="J142" s="185"/>
      <c r="K142" s="185"/>
      <c r="L142" s="128"/>
      <c r="M142" s="185"/>
      <c r="N142" s="185"/>
      <c r="O142" s="185"/>
      <c r="Q142" s="185"/>
      <c r="R142" s="185"/>
      <c r="S142" s="185"/>
      <c r="U142" s="185"/>
      <c r="V142" s="185"/>
      <c r="W142" s="185"/>
      <c r="Y142" s="185"/>
      <c r="Z142" s="185"/>
      <c r="AA142" s="185"/>
      <c r="AB142" s="185"/>
      <c r="AD142" s="185"/>
      <c r="AE142" s="185"/>
      <c r="AF142" s="185"/>
      <c r="AH142" s="269"/>
      <c r="AI142" s="269"/>
      <c r="AJ142" s="269"/>
      <c r="AK142" s="269"/>
      <c r="AM142" s="96">
        <f t="shared" ref="AM142:AM147" si="6">IF(ISBLANK(I142),1,IF(I142=I135,0,1))</f>
        <v>1</v>
      </c>
      <c r="AN142" s="96">
        <f t="shared" ref="AN142:AN147" si="7">IF(ISBLANK(M142),1,IF(M142=M135,0,1))</f>
        <v>1</v>
      </c>
      <c r="AO142" s="96">
        <f>IF(OR(ISBLANK(U142),ISBLANK(Y$96)),1,IF(U142&gt;Y$96,1,0))</f>
        <v>1</v>
      </c>
      <c r="AP142" s="96">
        <f t="shared" ref="AP142:AP147" si="8">IF(ISBLANK(AD142),1,IF(AD142&gt;$AQ$133,1,0))</f>
        <v>1</v>
      </c>
      <c r="AQ142" s="96">
        <f>IF(OR($AR$136=0,$AR$138=2),0,IF($AH142&gt;$AR$136,1,0))</f>
        <v>0</v>
      </c>
      <c r="AR142" s="96">
        <f>IF(OR($AR$137=0,$AR$138=2),0,IF($AH142&gt;$AR$137,1,0))</f>
        <v>0</v>
      </c>
      <c r="AS142" s="96">
        <f t="shared" ref="AS142:AS147" si="9">IF(OR(ISBLANK(AH142),ISBLANK(I142)),1,IF(AH142&gt;I142,1,0))</f>
        <v>1</v>
      </c>
      <c r="AT142" s="96">
        <f t="shared" ref="AT142:AT147" si="10">IF(ISBLANK(Y142),1,IF(Y142&gt;$AQ$133,1,0))</f>
        <v>1</v>
      </c>
    </row>
    <row r="143" spans="1:46" ht="14.55" customHeight="1" x14ac:dyDescent="0.3">
      <c r="C143" s="210">
        <f>Tables!$F$17</f>
        <v>7.68</v>
      </c>
      <c r="D143" s="210"/>
      <c r="G143" s="2" t="str">
        <f>Tables!$D$17</f>
        <v>(5-yr)</v>
      </c>
      <c r="I143" s="183"/>
      <c r="J143" s="183"/>
      <c r="K143" s="183"/>
      <c r="L143" s="128"/>
      <c r="M143" s="183"/>
      <c r="N143" s="183"/>
      <c r="O143" s="183"/>
      <c r="Q143" s="183"/>
      <c r="R143" s="183"/>
      <c r="S143" s="183"/>
      <c r="U143" s="183"/>
      <c r="V143" s="183"/>
      <c r="W143" s="183"/>
      <c r="Y143" s="183"/>
      <c r="Z143" s="183"/>
      <c r="AA143" s="183"/>
      <c r="AB143" s="183"/>
      <c r="AD143" s="183"/>
      <c r="AE143" s="183"/>
      <c r="AF143" s="183"/>
      <c r="AH143" s="272"/>
      <c r="AI143" s="272"/>
      <c r="AJ143" s="272"/>
      <c r="AK143" s="272"/>
      <c r="AM143" s="96">
        <f t="shared" si="6"/>
        <v>1</v>
      </c>
      <c r="AN143" s="96">
        <f t="shared" si="7"/>
        <v>1</v>
      </c>
      <c r="AO143" s="96">
        <f>IF(OR(ISBLANK(U143),ISBLANK(Y$96)),1,IF(U143&gt;Y$96,1,0))</f>
        <v>1</v>
      </c>
      <c r="AP143" s="96">
        <f t="shared" si="8"/>
        <v>1</v>
      </c>
      <c r="AQ143" s="96">
        <f t="shared" ref="AQ143:AQ147" si="11">IF(OR($AR$136=0,$AR$138=2),0,IF($AH143&gt;$AR$136,1,0))</f>
        <v>0</v>
      </c>
      <c r="AR143" s="96">
        <f t="shared" ref="AR143:AR147" si="12">IF(OR($AR$137=0,$AR$138=2),0,IF($AH143&gt;$AR$137,1,0))</f>
        <v>0</v>
      </c>
      <c r="AS143" s="96">
        <f t="shared" si="9"/>
        <v>1</v>
      </c>
      <c r="AT143" s="96">
        <f t="shared" si="10"/>
        <v>1</v>
      </c>
    </row>
    <row r="144" spans="1:46" ht="14.55" customHeight="1" x14ac:dyDescent="0.3">
      <c r="C144" s="210">
        <f>Tables!$F$18</f>
        <v>9.26</v>
      </c>
      <c r="D144" s="210"/>
      <c r="G144" s="2" t="str">
        <f>Tables!$D$18</f>
        <v>(10-yr)</v>
      </c>
      <c r="I144" s="183"/>
      <c r="J144" s="183"/>
      <c r="K144" s="183"/>
      <c r="L144" s="128"/>
      <c r="M144" s="183"/>
      <c r="N144" s="183"/>
      <c r="O144" s="183"/>
      <c r="Q144" s="183"/>
      <c r="R144" s="183"/>
      <c r="S144" s="183"/>
      <c r="U144" s="183"/>
      <c r="V144" s="183"/>
      <c r="W144" s="183"/>
      <c r="Y144" s="183"/>
      <c r="Z144" s="183"/>
      <c r="AA144" s="183"/>
      <c r="AB144" s="183"/>
      <c r="AD144" s="183"/>
      <c r="AE144" s="183"/>
      <c r="AF144" s="183"/>
      <c r="AH144" s="272"/>
      <c r="AI144" s="272"/>
      <c r="AJ144" s="272"/>
      <c r="AK144" s="272"/>
      <c r="AM144" s="96">
        <f t="shared" si="6"/>
        <v>1</v>
      </c>
      <c r="AN144" s="96">
        <f t="shared" si="7"/>
        <v>1</v>
      </c>
      <c r="AO144" s="96">
        <f>IF(OR(ISBLANK(U144),ISBLANK(Y$96)),1,IF(U144&gt;Y$96,1,0))</f>
        <v>1</v>
      </c>
      <c r="AP144" s="96">
        <f t="shared" si="8"/>
        <v>1</v>
      </c>
      <c r="AQ144" s="96">
        <f t="shared" si="11"/>
        <v>0</v>
      </c>
      <c r="AR144" s="96">
        <f t="shared" si="12"/>
        <v>0</v>
      </c>
      <c r="AS144" s="96">
        <f t="shared" si="9"/>
        <v>1</v>
      </c>
      <c r="AT144" s="96">
        <f t="shared" si="10"/>
        <v>1</v>
      </c>
    </row>
    <row r="145" spans="2:46" ht="14.55" customHeight="1" x14ac:dyDescent="0.3">
      <c r="C145" s="210">
        <f>Tables!$F$19</f>
        <v>11.7</v>
      </c>
      <c r="D145" s="210"/>
      <c r="G145" s="2" t="str">
        <f>Tables!$D$19</f>
        <v>(25-yr)</v>
      </c>
      <c r="I145" s="183"/>
      <c r="J145" s="183"/>
      <c r="K145" s="183"/>
      <c r="L145" s="128"/>
      <c r="M145" s="183"/>
      <c r="N145" s="183"/>
      <c r="O145" s="183"/>
      <c r="Q145" s="183"/>
      <c r="R145" s="183"/>
      <c r="S145" s="183"/>
      <c r="U145" s="183"/>
      <c r="V145" s="183"/>
      <c r="W145" s="183"/>
      <c r="Y145" s="183"/>
      <c r="Z145" s="183"/>
      <c r="AA145" s="183"/>
      <c r="AB145" s="183"/>
      <c r="AD145" s="183"/>
      <c r="AE145" s="183"/>
      <c r="AF145" s="183"/>
      <c r="AH145" s="272"/>
      <c r="AI145" s="272"/>
      <c r="AJ145" s="272"/>
      <c r="AK145" s="272"/>
      <c r="AM145" s="96">
        <f t="shared" si="6"/>
        <v>1</v>
      </c>
      <c r="AN145" s="96">
        <f t="shared" si="7"/>
        <v>1</v>
      </c>
      <c r="AO145" s="96">
        <f>IF(OR(ISBLANK(U145),ISBLANK(Y$96)),1,IF(U145&gt;Y$96,1,0))</f>
        <v>1</v>
      </c>
      <c r="AP145" s="96">
        <f t="shared" si="8"/>
        <v>1</v>
      </c>
      <c r="AQ145" s="96">
        <f t="shared" si="11"/>
        <v>0</v>
      </c>
      <c r="AR145" s="96">
        <f t="shared" si="12"/>
        <v>0</v>
      </c>
      <c r="AS145" s="96">
        <f t="shared" si="9"/>
        <v>1</v>
      </c>
      <c r="AT145" s="96">
        <f t="shared" si="10"/>
        <v>1</v>
      </c>
    </row>
    <row r="146" spans="2:46" ht="14.55" customHeight="1" x14ac:dyDescent="0.3">
      <c r="C146" s="210">
        <f>Tables!$F$20</f>
        <v>13.9</v>
      </c>
      <c r="D146" s="210"/>
      <c r="G146" s="2" t="str">
        <f>Tables!$D$20</f>
        <v>(50-yr)</v>
      </c>
      <c r="I146" s="183"/>
      <c r="J146" s="183"/>
      <c r="K146" s="183"/>
      <c r="L146" s="128"/>
      <c r="M146" s="183"/>
      <c r="N146" s="183"/>
      <c r="O146" s="183"/>
      <c r="Q146" s="183"/>
      <c r="R146" s="183"/>
      <c r="S146" s="183"/>
      <c r="U146" s="183"/>
      <c r="V146" s="183"/>
      <c r="W146" s="183"/>
      <c r="Y146" s="183"/>
      <c r="Z146" s="183"/>
      <c r="AA146" s="183"/>
      <c r="AB146" s="183"/>
      <c r="AD146" s="183"/>
      <c r="AE146" s="183"/>
      <c r="AF146" s="183"/>
      <c r="AH146" s="272"/>
      <c r="AI146" s="272"/>
      <c r="AJ146" s="272"/>
      <c r="AK146" s="272"/>
      <c r="AM146" s="96">
        <f t="shared" si="6"/>
        <v>1</v>
      </c>
      <c r="AN146" s="96">
        <f t="shared" si="7"/>
        <v>1</v>
      </c>
      <c r="AO146" s="100">
        <f>IF(OR(ISBLANK(U146),ISBLANK(AH$96)),0,AH$96-U146)</f>
        <v>0</v>
      </c>
      <c r="AP146" s="96">
        <f t="shared" si="8"/>
        <v>1</v>
      </c>
      <c r="AQ146" s="96">
        <f t="shared" si="11"/>
        <v>0</v>
      </c>
      <c r="AR146" s="96">
        <f t="shared" si="12"/>
        <v>0</v>
      </c>
      <c r="AS146" s="96">
        <f t="shared" si="9"/>
        <v>1</v>
      </c>
      <c r="AT146" s="96">
        <f t="shared" si="10"/>
        <v>1</v>
      </c>
    </row>
    <row r="147" spans="2:46" ht="14.55" customHeight="1" x14ac:dyDescent="0.3">
      <c r="C147" s="210">
        <f>Tables!$F$21</f>
        <v>16.3</v>
      </c>
      <c r="D147" s="210"/>
      <c r="G147" s="2" t="str">
        <f>Tables!$D$21</f>
        <v>(100-yr)</v>
      </c>
      <c r="I147" s="183"/>
      <c r="J147" s="183"/>
      <c r="K147" s="183"/>
      <c r="L147" s="128"/>
      <c r="M147" s="183"/>
      <c r="N147" s="183"/>
      <c r="O147" s="183"/>
      <c r="Q147" s="183"/>
      <c r="R147" s="183"/>
      <c r="S147" s="183"/>
      <c r="U147" s="183"/>
      <c r="V147" s="183"/>
      <c r="W147" s="183"/>
      <c r="Y147" s="183"/>
      <c r="Z147" s="183"/>
      <c r="AA147" s="183"/>
      <c r="AB147" s="183"/>
      <c r="AD147" s="183"/>
      <c r="AE147" s="183"/>
      <c r="AF147" s="183"/>
      <c r="AH147" s="272"/>
      <c r="AI147" s="272"/>
      <c r="AJ147" s="272"/>
      <c r="AK147" s="272"/>
      <c r="AM147" s="96">
        <f t="shared" si="6"/>
        <v>1</v>
      </c>
      <c r="AN147" s="96">
        <f t="shared" si="7"/>
        <v>1</v>
      </c>
      <c r="AO147" s="100">
        <f>IF(OR(ISBLANK(U147),ISBLANK(AH$96)),0,AH$96-U147)</f>
        <v>0</v>
      </c>
      <c r="AP147" s="96">
        <f t="shared" si="8"/>
        <v>1</v>
      </c>
      <c r="AQ147" s="96">
        <f t="shared" si="11"/>
        <v>0</v>
      </c>
      <c r="AR147" s="96">
        <f t="shared" si="12"/>
        <v>0</v>
      </c>
      <c r="AS147" s="96">
        <f t="shared" si="9"/>
        <v>1</v>
      </c>
      <c r="AT147" s="96">
        <f t="shared" si="10"/>
        <v>1</v>
      </c>
    </row>
    <row r="148" spans="2:46" ht="4.95" customHeight="1" x14ac:dyDescent="0.3">
      <c r="L148" s="128"/>
      <c r="Q148" s="128"/>
      <c r="V148" s="128"/>
      <c r="AA148" s="128"/>
      <c r="AF148" s="128"/>
      <c r="AO148" s="22"/>
    </row>
    <row r="149" spans="2:46" ht="15" customHeight="1" x14ac:dyDescent="0.3">
      <c r="L149" s="128"/>
      <c r="Q149" s="128"/>
      <c r="V149" s="128"/>
      <c r="AA149" s="128"/>
      <c r="AF149" s="128"/>
      <c r="AM149" s="22" t="s">
        <v>144</v>
      </c>
      <c r="AN149" s="22" t="s">
        <v>145</v>
      </c>
      <c r="AO149" s="22" t="s">
        <v>73</v>
      </c>
      <c r="AP149" s="22" t="s">
        <v>269</v>
      </c>
      <c r="AQ149" s="22" t="s">
        <v>380</v>
      </c>
      <c r="AR149" s="22" t="s">
        <v>437</v>
      </c>
      <c r="AS149" s="22" t="s">
        <v>74</v>
      </c>
      <c r="AT149" s="22" t="s">
        <v>269</v>
      </c>
    </row>
    <row r="150" spans="2:46" ht="15" customHeight="1" x14ac:dyDescent="0.3">
      <c r="L150" s="128"/>
      <c r="Q150" s="128"/>
      <c r="V150" s="128"/>
      <c r="AA150" s="128"/>
      <c r="AF150" s="128"/>
      <c r="AM150" s="13" t="s">
        <v>251</v>
      </c>
      <c r="AP150" s="22" t="s">
        <v>450</v>
      </c>
      <c r="AT150" s="22" t="s">
        <v>449</v>
      </c>
    </row>
    <row r="151" spans="2:46" ht="15" customHeight="1" x14ac:dyDescent="0.3">
      <c r="L151" s="128"/>
      <c r="Q151" s="128"/>
      <c r="V151" s="128"/>
      <c r="AA151" s="128"/>
      <c r="AF151" s="128"/>
      <c r="AM151" s="96">
        <f>IF(ISBLANK(AA92),1,2)</f>
        <v>1</v>
      </c>
    </row>
    <row r="152" spans="2:46" ht="15" customHeight="1" x14ac:dyDescent="0.3">
      <c r="L152" s="128"/>
      <c r="Q152" s="128"/>
      <c r="V152" s="128"/>
      <c r="AA152" s="128"/>
      <c r="AF152" s="128"/>
      <c r="AO152" s="22"/>
    </row>
    <row r="153" spans="2:46" ht="15" customHeight="1" x14ac:dyDescent="0.3">
      <c r="L153" s="128"/>
      <c r="AK153" s="33"/>
    </row>
    <row r="154" spans="2:46" ht="15" customHeight="1" x14ac:dyDescent="0.3">
      <c r="B154" s="198">
        <f>Tables!$F$13</f>
        <v>45931</v>
      </c>
      <c r="C154" s="198"/>
      <c r="D154" s="198"/>
      <c r="E154" s="198"/>
      <c r="F154" s="198"/>
      <c r="G154" s="198"/>
      <c r="H154" s="198"/>
      <c r="R154" s="188" t="s">
        <v>308</v>
      </c>
      <c r="S154" s="188"/>
      <c r="T154" s="188"/>
      <c r="U154" s="188"/>
      <c r="AK154" s="33"/>
    </row>
    <row r="155" spans="2:46" ht="15" customHeight="1" x14ac:dyDescent="0.3">
      <c r="C155" s="2" t="s">
        <v>1</v>
      </c>
      <c r="D155" s="199">
        <f>IF(ISBLANK($E$7),"",$E$7)</f>
        <v>0</v>
      </c>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39"/>
      <c r="AB155" s="39"/>
      <c r="AC155" s="39"/>
      <c r="AF155" s="2" t="s">
        <v>19</v>
      </c>
      <c r="AG155" s="197">
        <f>$AF$7</f>
        <v>0</v>
      </c>
      <c r="AH155" s="197"/>
      <c r="AI155" s="197"/>
      <c r="AJ155" s="197"/>
      <c r="AK155" s="197"/>
    </row>
    <row r="156" spans="2:46" ht="15" customHeight="1" x14ac:dyDescent="0.3">
      <c r="H156" s="40"/>
      <c r="I156" s="40"/>
      <c r="J156" s="2"/>
      <c r="K156" s="2"/>
      <c r="L156" s="2"/>
      <c r="M156" s="40"/>
      <c r="N156" s="39"/>
      <c r="O156" s="39"/>
      <c r="P156" s="39"/>
      <c r="Q156" s="39"/>
      <c r="R156" s="39"/>
      <c r="S156" s="39"/>
      <c r="T156" s="39"/>
      <c r="U156" s="39"/>
      <c r="V156" s="39"/>
      <c r="W156" s="39"/>
      <c r="X156" s="39"/>
      <c r="Y156" s="39"/>
      <c r="Z156" s="39"/>
      <c r="AA156" s="39"/>
      <c r="AB156" s="39"/>
      <c r="AC156" s="39"/>
      <c r="AF156" s="2" t="s">
        <v>32</v>
      </c>
      <c r="AG156" s="196">
        <f>IF(ISBLANK($AF$8),"",$AF$8)</f>
        <v>0</v>
      </c>
      <c r="AH156" s="196"/>
      <c r="AI156" s="196"/>
      <c r="AJ156" s="196"/>
      <c r="AK156" s="196"/>
    </row>
    <row r="157" spans="2:46" ht="15" customHeight="1" x14ac:dyDescent="0.3">
      <c r="B157" s="5" t="s">
        <v>20</v>
      </c>
      <c r="C157" s="5"/>
      <c r="D157" s="5"/>
      <c r="E157" s="5"/>
      <c r="F157" s="5"/>
      <c r="G157" s="5"/>
    </row>
    <row r="158" spans="2:46" ht="15" customHeight="1" x14ac:dyDescent="0.3">
      <c r="B158" s="217"/>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9"/>
    </row>
    <row r="159" spans="2:46" ht="15" customHeight="1" x14ac:dyDescent="0.3">
      <c r="B159" s="220"/>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2"/>
    </row>
    <row r="160" spans="2:46" ht="15" customHeight="1" x14ac:dyDescent="0.3">
      <c r="B160" s="220"/>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2"/>
    </row>
    <row r="161" spans="2:39" ht="15" customHeight="1" x14ac:dyDescent="0.3">
      <c r="B161" s="220"/>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2"/>
    </row>
    <row r="162" spans="2:39" ht="15" customHeight="1" x14ac:dyDescent="0.3">
      <c r="B162" s="220"/>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2"/>
    </row>
    <row r="163" spans="2:39" ht="15" customHeight="1" x14ac:dyDescent="0.3">
      <c r="B163" s="220"/>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2"/>
    </row>
    <row r="164" spans="2:39" ht="15" customHeight="1" x14ac:dyDescent="0.3">
      <c r="B164" s="220"/>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2"/>
    </row>
    <row r="165" spans="2:39" ht="15" customHeight="1" x14ac:dyDescent="0.3">
      <c r="B165" s="223"/>
      <c r="C165" s="224"/>
      <c r="D165" s="224"/>
      <c r="E165" s="224"/>
      <c r="F165" s="224"/>
      <c r="G165" s="224"/>
      <c r="H165" s="224"/>
      <c r="I165" s="224"/>
      <c r="J165" s="224"/>
      <c r="K165" s="224"/>
      <c r="L165" s="224"/>
      <c r="M165" s="224"/>
      <c r="N165" s="224"/>
      <c r="O165" s="224"/>
      <c r="P165" s="224"/>
      <c r="Q165" s="224"/>
      <c r="R165" s="224"/>
      <c r="S165" s="224"/>
      <c r="T165" s="224"/>
      <c r="U165" s="224"/>
      <c r="V165" s="224"/>
      <c r="W165" s="224"/>
      <c r="X165" s="224"/>
      <c r="Y165" s="224"/>
      <c r="Z165" s="224"/>
      <c r="AA165" s="224"/>
      <c r="AB165" s="224"/>
      <c r="AC165" s="224"/>
      <c r="AD165" s="224"/>
      <c r="AE165" s="224"/>
      <c r="AF165" s="224"/>
      <c r="AG165" s="224"/>
      <c r="AH165" s="224"/>
      <c r="AI165" s="224"/>
      <c r="AJ165" s="224"/>
      <c r="AK165" s="225"/>
    </row>
    <row r="166" spans="2:39" ht="4.95" customHeight="1" x14ac:dyDescent="0.3">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row>
    <row r="167" spans="2:39" ht="15" customHeight="1" x14ac:dyDescent="0.3">
      <c r="B167" s="1" t="s">
        <v>126</v>
      </c>
      <c r="C167" s="1"/>
      <c r="D167" s="1"/>
      <c r="E167" s="1"/>
      <c r="F167" s="1"/>
      <c r="G167" s="1"/>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row>
    <row r="168" spans="2:39" ht="15" customHeight="1" x14ac:dyDescent="0.3">
      <c r="C168" s="2"/>
      <c r="E168" s="2" t="s">
        <v>174</v>
      </c>
      <c r="F168" s="182"/>
      <c r="G168" s="182"/>
      <c r="H168" s="182"/>
      <c r="I168" s="182"/>
      <c r="J168" s="182"/>
      <c r="K168" s="182"/>
      <c r="L168" s="182"/>
      <c r="M168" s="182"/>
      <c r="N168" s="182"/>
      <c r="O168" s="182"/>
      <c r="P168" s="182"/>
      <c r="Q168" s="182"/>
      <c r="R168" s="182"/>
      <c r="S168" s="182"/>
      <c r="T168" s="182"/>
      <c r="U168" s="182"/>
      <c r="V168" s="182"/>
    </row>
    <row r="169" spans="2:39" ht="15" customHeight="1" x14ac:dyDescent="0.3">
      <c r="C169" s="2"/>
      <c r="E169" s="2" t="s">
        <v>129</v>
      </c>
      <c r="F169" s="200"/>
      <c r="G169" s="200"/>
      <c r="H169" s="200"/>
      <c r="I169" s="200"/>
      <c r="J169" s="200"/>
      <c r="K169" s="200"/>
      <c r="L169" s="200"/>
      <c r="M169" s="200"/>
      <c r="N169" s="200"/>
      <c r="O169" s="200"/>
      <c r="P169" s="200"/>
      <c r="Q169" s="200"/>
      <c r="R169" s="200"/>
      <c r="S169" s="200"/>
      <c r="T169" s="200"/>
      <c r="U169" s="200"/>
      <c r="V169" s="200"/>
      <c r="W169" s="4"/>
      <c r="X169" s="4"/>
      <c r="Y169" s="4"/>
      <c r="Z169" s="4"/>
      <c r="AA169" s="4"/>
      <c r="AB169" s="4"/>
      <c r="AC169" s="4"/>
      <c r="AD169" s="4"/>
      <c r="AE169" s="4"/>
      <c r="AF169" s="4"/>
      <c r="AG169" s="4"/>
      <c r="AH169" s="4"/>
      <c r="AI169" s="4"/>
      <c r="AJ169" s="4"/>
      <c r="AK169" s="4"/>
    </row>
    <row r="170" spans="2:39" ht="15" customHeight="1" x14ac:dyDescent="0.3">
      <c r="C170" s="2"/>
      <c r="E170" s="2" t="s">
        <v>314</v>
      </c>
      <c r="F170" s="200"/>
      <c r="G170" s="200"/>
      <c r="H170" s="200"/>
      <c r="I170" s="200"/>
      <c r="J170" s="200"/>
      <c r="K170" s="200"/>
      <c r="L170" s="200"/>
      <c r="M170" s="200"/>
      <c r="N170" s="200"/>
      <c r="O170" s="200"/>
      <c r="P170" s="200"/>
      <c r="Q170" s="200"/>
      <c r="R170" s="200"/>
      <c r="S170" s="200"/>
      <c r="T170" s="200"/>
      <c r="U170" s="200"/>
      <c r="V170" s="200"/>
      <c r="X170" s="2"/>
      <c r="Y170" s="2" t="s">
        <v>132</v>
      </c>
      <c r="Z170" s="186"/>
      <c r="AA170" s="186"/>
      <c r="AB170" s="186"/>
      <c r="AC170" s="186"/>
      <c r="AF170" s="2"/>
      <c r="AG170" s="2" t="s">
        <v>133</v>
      </c>
      <c r="AH170" s="186"/>
      <c r="AI170" s="186"/>
      <c r="AJ170" s="186"/>
      <c r="AK170" s="186"/>
    </row>
    <row r="171" spans="2:39" ht="15" customHeight="1" x14ac:dyDescent="0.3">
      <c r="C171" s="2"/>
      <c r="E171" s="2" t="s">
        <v>315</v>
      </c>
      <c r="F171" s="200"/>
      <c r="G171" s="200"/>
      <c r="H171" s="200"/>
      <c r="I171" s="200"/>
      <c r="J171" s="200"/>
      <c r="K171" s="200"/>
      <c r="L171" s="200"/>
      <c r="M171" s="200"/>
      <c r="N171" s="200"/>
      <c r="O171" s="200"/>
      <c r="P171" s="200"/>
      <c r="Q171" s="200"/>
      <c r="R171" s="200"/>
      <c r="S171" s="200"/>
      <c r="T171" s="200"/>
      <c r="U171" s="200"/>
      <c r="V171" s="200"/>
      <c r="X171" s="2"/>
      <c r="Y171" s="2"/>
      <c r="Z171" s="2"/>
      <c r="AA171" s="2"/>
      <c r="AB171" s="2"/>
      <c r="AC171" s="2"/>
      <c r="AD171" s="2"/>
      <c r="AE171" s="2"/>
      <c r="AF171" s="2"/>
      <c r="AG171" s="2"/>
      <c r="AH171" s="2"/>
      <c r="AI171" s="2"/>
      <c r="AJ171" s="2"/>
      <c r="AK171" s="2"/>
    </row>
    <row r="172" spans="2:39" ht="15" customHeight="1" x14ac:dyDescent="0.3">
      <c r="C172" s="2"/>
      <c r="E172" s="2" t="s">
        <v>130</v>
      </c>
      <c r="F172" s="263"/>
      <c r="G172" s="263"/>
      <c r="H172" s="263"/>
      <c r="I172" s="263"/>
      <c r="J172" s="263"/>
      <c r="K172" s="263"/>
      <c r="L172" s="263"/>
      <c r="M172" s="263"/>
      <c r="N172" s="263"/>
      <c r="O172" s="263"/>
      <c r="P172" s="263"/>
      <c r="Q172" s="263"/>
      <c r="R172" s="263"/>
      <c r="S172" s="263"/>
      <c r="T172" s="263"/>
      <c r="U172" s="263"/>
      <c r="V172" s="263"/>
      <c r="X172" s="12"/>
      <c r="Y172" s="12"/>
      <c r="Z172" s="12"/>
      <c r="AA172" s="12"/>
      <c r="AB172" s="12"/>
      <c r="AC172" s="12"/>
      <c r="AD172" s="2" t="s">
        <v>134</v>
      </c>
      <c r="AE172" s="259"/>
      <c r="AF172" s="259"/>
      <c r="AG172" s="259"/>
      <c r="AH172" s="259"/>
      <c r="AI172" s="259"/>
      <c r="AJ172" s="4"/>
      <c r="AK172" s="4"/>
    </row>
    <row r="173" spans="2:39" ht="4.95" customHeight="1" x14ac:dyDescent="0.3">
      <c r="B173" s="2"/>
      <c r="C173" s="2"/>
      <c r="D173" s="2"/>
      <c r="E173" s="2"/>
      <c r="F173" s="2"/>
      <c r="G173" s="2"/>
      <c r="H173" s="42"/>
      <c r="I173" s="42"/>
      <c r="J173" s="42"/>
      <c r="K173" s="42"/>
      <c r="L173" s="42"/>
      <c r="M173" s="42"/>
      <c r="N173" s="42"/>
      <c r="O173" s="42"/>
      <c r="P173" s="42"/>
      <c r="Q173" s="42"/>
      <c r="R173" s="42"/>
      <c r="S173" s="42"/>
      <c r="T173" s="42"/>
      <c r="U173" s="42"/>
      <c r="V173" s="42"/>
      <c r="X173" s="4"/>
      <c r="Y173" s="4"/>
      <c r="Z173" s="4"/>
      <c r="AA173" s="4"/>
      <c r="AB173" s="4"/>
      <c r="AC173" s="4"/>
      <c r="AD173" s="2"/>
      <c r="AE173" s="4"/>
      <c r="AF173" s="4"/>
      <c r="AG173" s="4"/>
      <c r="AH173" s="4"/>
      <c r="AI173" s="4"/>
      <c r="AJ173" s="4"/>
      <c r="AK173" s="4"/>
    </row>
    <row r="174" spans="2:39" ht="15" customHeight="1" x14ac:dyDescent="0.3">
      <c r="B174" s="1" t="s">
        <v>273</v>
      </c>
      <c r="C174" s="1"/>
      <c r="D174" s="1"/>
      <c r="E174" s="1"/>
      <c r="F174" s="1"/>
      <c r="G174" s="1"/>
      <c r="H174" s="4"/>
      <c r="I174" s="4"/>
      <c r="J174" s="4"/>
      <c r="K174" s="4"/>
      <c r="L174" s="4"/>
      <c r="M174" s="4"/>
      <c r="N174" s="4"/>
      <c r="O174" s="4"/>
      <c r="P174" s="4"/>
      <c r="Q174" s="4"/>
      <c r="R174" s="4"/>
      <c r="S174" s="4"/>
      <c r="T174" s="4"/>
      <c r="U174" s="4"/>
      <c r="V174" s="4"/>
      <c r="X174" s="4"/>
      <c r="Y174" s="62"/>
      <c r="Z174" s="28" t="s">
        <v>127</v>
      </c>
      <c r="AA174" s="4"/>
      <c r="AB174" s="4"/>
      <c r="AC174" s="4"/>
      <c r="AH174" s="4"/>
      <c r="AI174" s="4"/>
      <c r="AJ174" s="4"/>
      <c r="AK174" s="4"/>
      <c r="AM174" s="96">
        <f>IF(ISBLANK(Y174),1,2)</f>
        <v>1</v>
      </c>
    </row>
    <row r="175" spans="2:39" ht="15" customHeight="1" x14ac:dyDescent="0.3">
      <c r="C175" s="2"/>
      <c r="E175" s="2" t="s">
        <v>131</v>
      </c>
      <c r="F175" s="182"/>
      <c r="G175" s="182"/>
      <c r="H175" s="182"/>
      <c r="I175" s="182"/>
      <c r="J175" s="182"/>
      <c r="K175" s="182"/>
      <c r="L175" s="182"/>
      <c r="M175" s="182"/>
      <c r="N175" s="182"/>
      <c r="O175" s="182"/>
      <c r="P175" s="182"/>
      <c r="Q175" s="182"/>
      <c r="R175" s="182"/>
      <c r="S175" s="182"/>
      <c r="T175" s="182"/>
      <c r="U175" s="182"/>
      <c r="V175" s="182"/>
    </row>
    <row r="176" spans="2:39" ht="15" customHeight="1" x14ac:dyDescent="0.3">
      <c r="C176" s="2"/>
      <c r="E176" s="2" t="s">
        <v>129</v>
      </c>
      <c r="F176" s="200"/>
      <c r="G176" s="200"/>
      <c r="H176" s="200"/>
      <c r="I176" s="200"/>
      <c r="J176" s="200"/>
      <c r="K176" s="200"/>
      <c r="L176" s="200"/>
      <c r="M176" s="200"/>
      <c r="N176" s="200"/>
      <c r="O176" s="200"/>
      <c r="P176" s="200"/>
      <c r="Q176" s="200"/>
      <c r="R176" s="200"/>
      <c r="S176" s="200"/>
      <c r="T176" s="200"/>
      <c r="U176" s="200"/>
      <c r="V176" s="200"/>
      <c r="AE176" s="4"/>
      <c r="AF176" s="4"/>
      <c r="AG176" s="4"/>
      <c r="AH176" s="4"/>
      <c r="AI176" s="4"/>
      <c r="AJ176" s="4"/>
      <c r="AK176" s="4"/>
    </row>
    <row r="177" spans="2:43" ht="15" customHeight="1" x14ac:dyDescent="0.3">
      <c r="C177" s="2"/>
      <c r="E177" s="2" t="s">
        <v>288</v>
      </c>
      <c r="F177" s="200"/>
      <c r="G177" s="200"/>
      <c r="H177" s="200"/>
      <c r="I177" s="200"/>
      <c r="J177" s="200"/>
      <c r="K177" s="200"/>
      <c r="L177" s="200"/>
      <c r="M177" s="200"/>
      <c r="N177" s="200"/>
      <c r="O177" s="200"/>
      <c r="P177" s="200"/>
      <c r="Q177" s="200"/>
      <c r="R177" s="200"/>
      <c r="S177" s="200"/>
      <c r="T177" s="200"/>
      <c r="U177" s="200"/>
      <c r="V177" s="200"/>
      <c r="X177" s="2"/>
      <c r="Y177" s="2" t="s">
        <v>132</v>
      </c>
      <c r="Z177" s="186"/>
      <c r="AA177" s="186"/>
      <c r="AB177" s="186"/>
      <c r="AC177" s="186"/>
      <c r="AF177" s="2"/>
      <c r="AG177" s="2" t="s">
        <v>133</v>
      </c>
      <c r="AH177" s="186"/>
      <c r="AI177" s="186"/>
      <c r="AJ177" s="186"/>
      <c r="AK177" s="186"/>
    </row>
    <row r="178" spans="2:43" ht="15" customHeight="1" x14ac:dyDescent="0.3">
      <c r="C178" s="2"/>
      <c r="E178" s="2" t="s">
        <v>315</v>
      </c>
      <c r="F178" s="182"/>
      <c r="G178" s="182"/>
      <c r="H178" s="182"/>
      <c r="I178" s="182"/>
      <c r="J178" s="182"/>
      <c r="K178" s="182"/>
      <c r="L178" s="182"/>
      <c r="M178" s="182"/>
      <c r="N178" s="182"/>
      <c r="O178" s="182"/>
      <c r="P178" s="182"/>
      <c r="Q178" s="182"/>
      <c r="R178" s="182"/>
      <c r="S178" s="182"/>
      <c r="T178" s="182"/>
      <c r="U178" s="182"/>
      <c r="V178" s="182"/>
      <c r="W178" s="4"/>
      <c r="X178" s="4"/>
      <c r="Y178" s="4"/>
      <c r="Z178" s="4"/>
      <c r="AA178" s="4"/>
      <c r="AB178" s="4"/>
      <c r="AC178" s="4"/>
      <c r="AD178" s="2" t="s">
        <v>135</v>
      </c>
      <c r="AE178" s="182"/>
      <c r="AF178" s="182"/>
      <c r="AG178" s="182"/>
      <c r="AH178" s="182"/>
      <c r="AI178" s="182"/>
      <c r="AJ178" s="182"/>
      <c r="AK178" s="182"/>
    </row>
    <row r="179" spans="2:43" ht="15" customHeight="1" x14ac:dyDescent="0.3">
      <c r="C179" s="2"/>
      <c r="E179" s="2" t="s">
        <v>130</v>
      </c>
      <c r="F179" s="263"/>
      <c r="G179" s="263"/>
      <c r="H179" s="263"/>
      <c r="I179" s="263"/>
      <c r="J179" s="263"/>
      <c r="K179" s="263"/>
      <c r="L179" s="263"/>
      <c r="M179" s="263"/>
      <c r="N179" s="263"/>
      <c r="O179" s="263"/>
      <c r="P179" s="263"/>
      <c r="Q179" s="263"/>
      <c r="R179" s="263"/>
      <c r="S179" s="263"/>
      <c r="T179" s="263"/>
      <c r="U179" s="263"/>
      <c r="V179" s="263"/>
      <c r="AD179" s="2" t="s">
        <v>134</v>
      </c>
      <c r="AE179" s="258"/>
      <c r="AF179" s="258"/>
      <c r="AG179" s="258"/>
      <c r="AH179" s="258"/>
      <c r="AI179" s="258"/>
    </row>
    <row r="180" spans="2:43" ht="15" customHeight="1" x14ac:dyDescent="0.3">
      <c r="C180" s="2"/>
    </row>
    <row r="181" spans="2:43" ht="15" customHeight="1" x14ac:dyDescent="0.3">
      <c r="B181" s="1" t="s">
        <v>383</v>
      </c>
      <c r="F181" s="40"/>
      <c r="G181" s="40"/>
      <c r="H181" s="28" t="s">
        <v>412</v>
      </c>
      <c r="I181" s="40"/>
      <c r="J181" s="40"/>
      <c r="K181" s="2"/>
      <c r="L181" s="2"/>
      <c r="M181" s="2"/>
      <c r="N181" s="2"/>
      <c r="O181" s="40"/>
      <c r="P181" s="39"/>
      <c r="Q181" s="39"/>
      <c r="R181" s="39"/>
      <c r="S181" s="39"/>
      <c r="T181" s="39"/>
      <c r="U181" s="39"/>
      <c r="V181" s="39"/>
      <c r="W181" s="39"/>
      <c r="X181" s="39"/>
      <c r="Y181" s="39"/>
      <c r="Z181" s="39"/>
      <c r="AA181" s="39"/>
      <c r="AB181" s="39"/>
      <c r="AC181" s="39"/>
      <c r="AD181" s="39"/>
      <c r="AE181" s="39"/>
      <c r="AF181" s="39"/>
      <c r="AG181" s="39"/>
      <c r="AH181" s="39"/>
      <c r="AI181" s="39"/>
      <c r="AJ181" s="39"/>
      <c r="AK181" s="39"/>
    </row>
    <row r="182" spans="2:43" ht="15" customHeight="1" x14ac:dyDescent="0.3">
      <c r="C182" s="28" t="s">
        <v>155</v>
      </c>
      <c r="E182" s="28" t="s">
        <v>137</v>
      </c>
      <c r="AM182" s="96">
        <f>SUM(AM186,AM188,AM190,AM192,AM194,AM196,AM198,AM200,AM202,AM204)</f>
        <v>10</v>
      </c>
      <c r="AN182" s="22"/>
      <c r="AO182" s="22"/>
      <c r="AQ182" s="96">
        <f>SUM(AQ186,AQ188,AQ190,AQ192,AQ194,AQ196,AQ198,AQ200,AQ202,AQ204)</f>
        <v>0</v>
      </c>
    </row>
    <row r="183" spans="2:43" ht="4.95" customHeight="1" x14ac:dyDescent="0.3">
      <c r="AM183" s="22"/>
      <c r="AN183" s="22"/>
      <c r="AO183" s="22"/>
    </row>
    <row r="184" spans="2:43" ht="15" customHeight="1" x14ac:dyDescent="0.3">
      <c r="C184" s="62"/>
      <c r="E184" s="62"/>
      <c r="G184" s="28" t="s">
        <v>404</v>
      </c>
      <c r="X184" s="28" t="s">
        <v>311</v>
      </c>
      <c r="AC184" s="28" t="s">
        <v>312</v>
      </c>
      <c r="AM184" s="96">
        <f>IF(AND(ISBLANK(C184),ISBLANK(E184)),1,2)</f>
        <v>1</v>
      </c>
      <c r="AN184" s="96">
        <f>IF(ISBLANK(E184),1,2)</f>
        <v>1</v>
      </c>
      <c r="AO184" s="96"/>
      <c r="AP184" s="96">
        <f>IF(ISBLANK(C184),1,2)</f>
        <v>1</v>
      </c>
      <c r="AQ184" s="96">
        <f>IF(ISBLANK(E184),0,1)</f>
        <v>0</v>
      </c>
    </row>
    <row r="185" spans="2:43" ht="4.95" customHeight="1" x14ac:dyDescent="0.3">
      <c r="AM185" s="22"/>
      <c r="AN185" s="22"/>
      <c r="AO185" s="22"/>
    </row>
    <row r="186" spans="2:43" ht="15" customHeight="1" x14ac:dyDescent="0.3">
      <c r="C186" s="62"/>
      <c r="E186" s="62"/>
      <c r="G186" s="28" t="s">
        <v>438</v>
      </c>
      <c r="Y186" s="186"/>
      <c r="Z186" s="186"/>
      <c r="AC186" s="245"/>
      <c r="AD186" s="245"/>
      <c r="AE186" s="245"/>
      <c r="AF186" s="245"/>
      <c r="AG186" s="245"/>
      <c r="AH186" s="245"/>
      <c r="AI186" s="245"/>
      <c r="AM186" s="96">
        <f>IF(AND(ISBLANK(C186),ISBLANK(E186)),1,2)</f>
        <v>1</v>
      </c>
      <c r="AN186" s="96">
        <f>IF(ISBLANK(E186),1,2)</f>
        <v>1</v>
      </c>
      <c r="AO186" s="96"/>
      <c r="AP186" s="96">
        <f>IF(ISBLANK(C186),1,2)</f>
        <v>1</v>
      </c>
      <c r="AQ186" s="96">
        <f>IF(ISBLANK(E186),0,1)</f>
        <v>0</v>
      </c>
    </row>
    <row r="187" spans="2:43" ht="4.95" customHeight="1" x14ac:dyDescent="0.3">
      <c r="AM187" s="22"/>
      <c r="AN187" s="22"/>
      <c r="AO187" s="22"/>
    </row>
    <row r="188" spans="2:43" ht="15" customHeight="1" x14ac:dyDescent="0.3">
      <c r="C188" s="62"/>
      <c r="E188" s="62"/>
      <c r="G188" s="28" t="s">
        <v>405</v>
      </c>
      <c r="Y188" s="186"/>
      <c r="Z188" s="186"/>
      <c r="AC188" s="245"/>
      <c r="AD188" s="245"/>
      <c r="AE188" s="245"/>
      <c r="AF188" s="245"/>
      <c r="AG188" s="245"/>
      <c r="AH188" s="245"/>
      <c r="AI188" s="245"/>
      <c r="AM188" s="96">
        <f>IF(AND(ISBLANK(C188),ISBLANK(E188)),1,2)</f>
        <v>1</v>
      </c>
      <c r="AN188" s="96">
        <f>IF(ISBLANK(E188),1,2)</f>
        <v>1</v>
      </c>
      <c r="AO188" s="96"/>
      <c r="AP188" s="96">
        <f>IF(ISBLANK(C188),1,2)</f>
        <v>1</v>
      </c>
      <c r="AQ188" s="96">
        <f>IF(ISBLANK(E188),0,1)</f>
        <v>0</v>
      </c>
    </row>
    <row r="189" spans="2:43" ht="4.95" customHeight="1" x14ac:dyDescent="0.3">
      <c r="AM189" s="22"/>
      <c r="AN189" s="22"/>
      <c r="AO189" s="22"/>
    </row>
    <row r="190" spans="2:43" ht="15" customHeight="1" x14ac:dyDescent="0.3">
      <c r="C190" s="62"/>
      <c r="E190" s="62"/>
      <c r="G190" s="28" t="s">
        <v>406</v>
      </c>
      <c r="Y190" s="186"/>
      <c r="Z190" s="186"/>
      <c r="AC190" s="245"/>
      <c r="AD190" s="245"/>
      <c r="AE190" s="245"/>
      <c r="AF190" s="245"/>
      <c r="AG190" s="245"/>
      <c r="AH190" s="245"/>
      <c r="AI190" s="245"/>
      <c r="AM190" s="96">
        <f>IF(AND(ISBLANK(C190),ISBLANK(E190)),1,2)</f>
        <v>1</v>
      </c>
      <c r="AN190" s="96">
        <f>IF(ISBLANK(E190),1,2)</f>
        <v>1</v>
      </c>
      <c r="AO190" s="96"/>
      <c r="AP190" s="96">
        <f>IF(ISBLANK(C190),1,2)</f>
        <v>1</v>
      </c>
      <c r="AQ190" s="96">
        <f>IF(ISBLANK(E190),0,1)</f>
        <v>0</v>
      </c>
    </row>
    <row r="191" spans="2:43" ht="4.95" customHeight="1" x14ac:dyDescent="0.3">
      <c r="AM191" s="22"/>
      <c r="AN191" s="22"/>
      <c r="AO191" s="22"/>
    </row>
    <row r="192" spans="2:43" ht="15" customHeight="1" x14ac:dyDescent="0.3">
      <c r="C192" s="62"/>
      <c r="E192" s="62"/>
      <c r="G192" s="28" t="s">
        <v>407</v>
      </c>
      <c r="Y192" s="186"/>
      <c r="Z192" s="186"/>
      <c r="AC192" s="245"/>
      <c r="AD192" s="245"/>
      <c r="AE192" s="245"/>
      <c r="AF192" s="245"/>
      <c r="AG192" s="245"/>
      <c r="AH192" s="245"/>
      <c r="AI192" s="245"/>
      <c r="AM192" s="96">
        <f>IF(AND(ISBLANK(C192),ISBLANK(E192)),1,2)</f>
        <v>1</v>
      </c>
      <c r="AN192" s="96">
        <f>IF(ISBLANK(E192),1,2)</f>
        <v>1</v>
      </c>
      <c r="AO192" s="96"/>
      <c r="AP192" s="96">
        <f>IF(ISBLANK(C192),1,2)</f>
        <v>1</v>
      </c>
      <c r="AQ192" s="96">
        <f>IF(ISBLANK(E192),0,1)</f>
        <v>0</v>
      </c>
    </row>
    <row r="193" spans="2:43" ht="4.95" customHeight="1" x14ac:dyDescent="0.3">
      <c r="C193" s="40"/>
      <c r="E193" s="2"/>
      <c r="J193" s="40"/>
      <c r="K193" s="39"/>
      <c r="L193" s="39"/>
      <c r="M193" s="39"/>
      <c r="N193" s="39"/>
      <c r="O193" s="39"/>
      <c r="X193" s="39"/>
      <c r="Y193" s="39"/>
      <c r="Z193" s="39"/>
      <c r="AA193" s="39"/>
      <c r="AB193" s="39"/>
      <c r="AC193" s="39"/>
      <c r="AD193" s="39"/>
      <c r="AE193" s="39"/>
      <c r="AF193" s="39"/>
      <c r="AG193" s="39"/>
      <c r="AH193" s="39"/>
      <c r="AI193" s="39"/>
      <c r="AJ193" s="39"/>
      <c r="AK193" s="39"/>
    </row>
    <row r="194" spans="2:43" ht="15" customHeight="1" x14ac:dyDescent="0.3">
      <c r="C194" s="62"/>
      <c r="E194" s="62"/>
      <c r="G194" s="28" t="s">
        <v>408</v>
      </c>
      <c r="Y194" s="186"/>
      <c r="Z194" s="186"/>
      <c r="AC194" s="245"/>
      <c r="AD194" s="245"/>
      <c r="AE194" s="245"/>
      <c r="AF194" s="245"/>
      <c r="AG194" s="245"/>
      <c r="AH194" s="245"/>
      <c r="AI194" s="245"/>
      <c r="AM194" s="96">
        <f>IF(AND(ISBLANK(C194),ISBLANK(E194)),1,2)</f>
        <v>1</v>
      </c>
      <c r="AN194" s="96">
        <f>IF(ISBLANK(E194),1,2)</f>
        <v>1</v>
      </c>
      <c r="AO194" s="96"/>
      <c r="AP194" s="96">
        <f>IF(ISBLANK(C194),1,2)</f>
        <v>1</v>
      </c>
      <c r="AQ194" s="96">
        <f>IF(ISBLANK(E194),0,1)</f>
        <v>0</v>
      </c>
    </row>
    <row r="195" spans="2:43" ht="4.95" customHeight="1" x14ac:dyDescent="0.3">
      <c r="I195" s="40"/>
      <c r="J195" s="2"/>
      <c r="K195" s="2"/>
      <c r="L195" s="2"/>
      <c r="M195" s="40"/>
      <c r="N195" s="39"/>
      <c r="O195" s="39"/>
      <c r="X195" s="39"/>
      <c r="Y195" s="39"/>
      <c r="Z195" s="39"/>
      <c r="AA195" s="39"/>
      <c r="AB195" s="39"/>
      <c r="AC195" s="39"/>
      <c r="AD195" s="39"/>
      <c r="AE195" s="39"/>
      <c r="AF195" s="39"/>
      <c r="AG195" s="39"/>
      <c r="AH195" s="39"/>
      <c r="AI195" s="39"/>
    </row>
    <row r="196" spans="2:43" ht="15" customHeight="1" x14ac:dyDescent="0.3">
      <c r="C196" s="62"/>
      <c r="E196" s="62"/>
      <c r="G196" s="28" t="s">
        <v>409</v>
      </c>
      <c r="I196" s="40"/>
      <c r="J196" s="2"/>
      <c r="K196" s="2"/>
      <c r="L196" s="2"/>
      <c r="M196" s="40"/>
      <c r="N196" s="39"/>
      <c r="O196" s="39"/>
      <c r="X196" s="39"/>
      <c r="Y196" s="186"/>
      <c r="Z196" s="186"/>
      <c r="AC196" s="245"/>
      <c r="AD196" s="245"/>
      <c r="AE196" s="245"/>
      <c r="AF196" s="245"/>
      <c r="AG196" s="245"/>
      <c r="AH196" s="245"/>
      <c r="AI196" s="245"/>
      <c r="AM196" s="96">
        <f>IF(AND(ISBLANK(C196),ISBLANK(E196)),1,2)</f>
        <v>1</v>
      </c>
      <c r="AN196" s="96">
        <f>IF(ISBLANK(E196),1,2)</f>
        <v>1</v>
      </c>
      <c r="AO196" s="96"/>
      <c r="AP196" s="96">
        <f>IF(ISBLANK(C196),1,2)</f>
        <v>1</v>
      </c>
      <c r="AQ196" s="96">
        <f>IF(ISBLANK(E196),0,1)</f>
        <v>0</v>
      </c>
    </row>
    <row r="197" spans="2:43" ht="4.95" customHeight="1" x14ac:dyDescent="0.3">
      <c r="I197" s="40"/>
      <c r="J197" s="2"/>
      <c r="K197" s="2"/>
      <c r="L197" s="2"/>
      <c r="M197" s="40"/>
      <c r="N197" s="39"/>
      <c r="O197" s="39"/>
      <c r="X197" s="39"/>
      <c r="Y197" s="39"/>
      <c r="Z197" s="39"/>
      <c r="AA197" s="39"/>
      <c r="AB197" s="39"/>
      <c r="AC197" s="39"/>
      <c r="AD197" s="39"/>
      <c r="AE197" s="39"/>
      <c r="AF197" s="39"/>
      <c r="AG197" s="39"/>
      <c r="AH197" s="39"/>
      <c r="AI197" s="39"/>
    </row>
    <row r="198" spans="2:43" ht="15" customHeight="1" x14ac:dyDescent="0.3">
      <c r="C198" s="62"/>
      <c r="E198" s="62"/>
      <c r="G198" s="28" t="s">
        <v>410</v>
      </c>
      <c r="I198" s="40"/>
      <c r="J198" s="2"/>
      <c r="K198" s="2"/>
      <c r="L198" s="2"/>
      <c r="M198" s="40"/>
      <c r="N198" s="39"/>
      <c r="O198" s="39"/>
      <c r="X198" s="39"/>
      <c r="Y198" s="186"/>
      <c r="Z198" s="186"/>
      <c r="AC198" s="245"/>
      <c r="AD198" s="245"/>
      <c r="AE198" s="245"/>
      <c r="AF198" s="245"/>
      <c r="AG198" s="245"/>
      <c r="AH198" s="245"/>
      <c r="AI198" s="245"/>
      <c r="AM198" s="96">
        <f>IF(AND(ISBLANK(C198),ISBLANK(E198)),1,2)</f>
        <v>1</v>
      </c>
      <c r="AN198" s="96">
        <f>IF(ISBLANK(E198),1,2)</f>
        <v>1</v>
      </c>
      <c r="AO198" s="96"/>
      <c r="AP198" s="96">
        <f>IF(ISBLANK(C198),1,2)</f>
        <v>1</v>
      </c>
      <c r="AQ198" s="96">
        <f>IF(ISBLANK(E198),0,1)</f>
        <v>0</v>
      </c>
    </row>
    <row r="199" spans="2:43" ht="4.95" customHeight="1" x14ac:dyDescent="0.3">
      <c r="I199" s="40"/>
      <c r="J199" s="2"/>
      <c r="K199" s="2"/>
      <c r="L199" s="2"/>
      <c r="M199" s="40"/>
      <c r="N199" s="39"/>
      <c r="O199" s="39"/>
      <c r="X199" s="39"/>
      <c r="Y199" s="39"/>
      <c r="Z199" s="39"/>
      <c r="AA199" s="39"/>
      <c r="AB199" s="39"/>
      <c r="AC199" s="39"/>
      <c r="AD199" s="39"/>
      <c r="AE199" s="39"/>
      <c r="AF199" s="39"/>
      <c r="AG199" s="39"/>
      <c r="AH199" s="39"/>
      <c r="AI199" s="39"/>
    </row>
    <row r="200" spans="2:43" ht="15" customHeight="1" x14ac:dyDescent="0.3">
      <c r="C200" s="62"/>
      <c r="E200" s="62"/>
      <c r="G200" s="28" t="s">
        <v>411</v>
      </c>
      <c r="I200" s="40"/>
      <c r="J200" s="2"/>
      <c r="K200" s="2"/>
      <c r="L200" s="2"/>
      <c r="M200" s="40"/>
      <c r="N200" s="39"/>
      <c r="O200" s="39"/>
      <c r="X200" s="39"/>
      <c r="Y200" s="186"/>
      <c r="Z200" s="186"/>
      <c r="AC200" s="245"/>
      <c r="AD200" s="245"/>
      <c r="AE200" s="245"/>
      <c r="AF200" s="245"/>
      <c r="AG200" s="245"/>
      <c r="AH200" s="245"/>
      <c r="AI200" s="245"/>
      <c r="AM200" s="96">
        <f>IF(AND(ISBLANK(C200),ISBLANK(E200)),1,2)</f>
        <v>1</v>
      </c>
      <c r="AN200" s="96">
        <f>IF(ISBLANK(E200),1,2)</f>
        <v>1</v>
      </c>
      <c r="AO200" s="96"/>
      <c r="AP200" s="96">
        <f>IF(ISBLANK(C200),1,2)</f>
        <v>1</v>
      </c>
      <c r="AQ200" s="96">
        <f>IF(ISBLANK(E200),0,1)</f>
        <v>0</v>
      </c>
    </row>
    <row r="201" spans="2:43" ht="4.95" customHeight="1" x14ac:dyDescent="0.3">
      <c r="I201" s="40"/>
      <c r="J201" s="2"/>
      <c r="K201" s="2"/>
      <c r="L201" s="2"/>
      <c r="M201" s="40"/>
      <c r="N201" s="39"/>
      <c r="O201" s="39"/>
      <c r="X201" s="39"/>
      <c r="Y201" s="39"/>
      <c r="Z201" s="39"/>
      <c r="AA201" s="39"/>
      <c r="AB201" s="39"/>
      <c r="AC201" s="39"/>
      <c r="AD201" s="39"/>
      <c r="AE201" s="39"/>
      <c r="AF201" s="39"/>
      <c r="AG201" s="39"/>
      <c r="AH201" s="39"/>
      <c r="AI201" s="39"/>
    </row>
    <row r="202" spans="2:43" ht="15" customHeight="1" x14ac:dyDescent="0.3">
      <c r="C202" s="62"/>
      <c r="E202" s="62"/>
      <c r="G202" s="28" t="s">
        <v>519</v>
      </c>
      <c r="Y202" s="186"/>
      <c r="Z202" s="186"/>
      <c r="AC202" s="245"/>
      <c r="AD202" s="245"/>
      <c r="AE202" s="245"/>
      <c r="AF202" s="245"/>
      <c r="AG202" s="245"/>
      <c r="AH202" s="245"/>
      <c r="AI202" s="245"/>
      <c r="AM202" s="96">
        <f>IF(AND(ISBLANK(C202),ISBLANK(E202)),1,2)</f>
        <v>1</v>
      </c>
      <c r="AN202" s="96">
        <f>IF(ISBLANK(E202),1,2)</f>
        <v>1</v>
      </c>
      <c r="AO202" s="96"/>
      <c r="AP202" s="96">
        <f>IF(ISBLANK(C202),1,2)</f>
        <v>1</v>
      </c>
      <c r="AQ202" s="96">
        <f>IF(ISBLANK(E202),0,1)</f>
        <v>0</v>
      </c>
    </row>
    <row r="203" spans="2:43" ht="4.95" customHeight="1" x14ac:dyDescent="0.3">
      <c r="I203" s="40"/>
      <c r="J203" s="2"/>
      <c r="K203" s="2"/>
      <c r="L203" s="2"/>
      <c r="M203" s="40"/>
      <c r="N203" s="39"/>
      <c r="O203" s="39"/>
      <c r="P203" s="39"/>
      <c r="Q203" s="39"/>
      <c r="R203" s="39"/>
      <c r="S203" s="39"/>
      <c r="T203" s="39"/>
      <c r="U203" s="39"/>
      <c r="V203" s="39"/>
      <c r="W203" s="39"/>
      <c r="X203" s="39"/>
      <c r="Y203" s="39"/>
      <c r="Z203" s="39"/>
      <c r="AA203" s="39"/>
      <c r="AB203" s="39"/>
      <c r="AC203" s="39"/>
    </row>
    <row r="204" spans="2:43" ht="15" customHeight="1" x14ac:dyDescent="0.3">
      <c r="C204" s="62"/>
      <c r="E204" s="62"/>
      <c r="G204" s="28" t="s">
        <v>342</v>
      </c>
      <c r="I204" s="40"/>
      <c r="J204" s="2"/>
      <c r="K204" s="2"/>
      <c r="L204" s="2"/>
      <c r="M204" s="40"/>
      <c r="N204" s="39"/>
      <c r="O204" s="39"/>
      <c r="P204" s="39"/>
      <c r="Q204" s="39"/>
      <c r="R204" s="39"/>
      <c r="S204" s="39"/>
      <c r="T204" s="39"/>
      <c r="U204" s="39"/>
      <c r="V204" s="39"/>
      <c r="W204" s="39"/>
      <c r="X204" s="39"/>
      <c r="Y204" s="186"/>
      <c r="Z204" s="186"/>
      <c r="AC204" s="245"/>
      <c r="AD204" s="245"/>
      <c r="AE204" s="245"/>
      <c r="AF204" s="245"/>
      <c r="AG204" s="245"/>
      <c r="AH204" s="245"/>
      <c r="AI204" s="245"/>
      <c r="AM204" s="96">
        <f>IF(AND(ISBLANK(C204),ISBLANK(E204)),1,2)</f>
        <v>1</v>
      </c>
      <c r="AN204" s="96">
        <f>IF(ISBLANK(E204),1,2)</f>
        <v>1</v>
      </c>
      <c r="AO204" s="96"/>
      <c r="AP204" s="96">
        <f>IF(ISBLANK(C204),1,2)</f>
        <v>1</v>
      </c>
      <c r="AQ204" s="96">
        <f>IF(ISBLANK(E204),0,1)</f>
        <v>0</v>
      </c>
    </row>
    <row r="205" spans="2:43" ht="15" customHeight="1" x14ac:dyDescent="0.3">
      <c r="C205" s="2"/>
    </row>
    <row r="206" spans="2:43" ht="15" customHeight="1" x14ac:dyDescent="0.3">
      <c r="AK206" s="33"/>
    </row>
    <row r="207" spans="2:43" ht="15" customHeight="1" x14ac:dyDescent="0.3">
      <c r="B207" s="198">
        <f>Tables!$F$13</f>
        <v>45931</v>
      </c>
      <c r="C207" s="198"/>
      <c r="D207" s="198"/>
      <c r="E207" s="198"/>
      <c r="F207" s="198"/>
      <c r="G207" s="198"/>
      <c r="H207" s="198"/>
      <c r="R207" s="188" t="s">
        <v>307</v>
      </c>
      <c r="S207" s="188"/>
      <c r="T207" s="188"/>
      <c r="U207" s="188"/>
      <c r="AK207" s="33"/>
    </row>
    <row r="208" spans="2:43" ht="15" customHeight="1" x14ac:dyDescent="0.3">
      <c r="C208" s="2" t="s">
        <v>1</v>
      </c>
      <c r="D208" s="199">
        <f>IF(ISBLANK($E$7),"",$E$7)</f>
        <v>0</v>
      </c>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39"/>
      <c r="AB208" s="39"/>
      <c r="AC208" s="39"/>
      <c r="AF208" s="2" t="s">
        <v>19</v>
      </c>
      <c r="AG208" s="197">
        <f>$AF$7</f>
        <v>0</v>
      </c>
      <c r="AH208" s="197"/>
      <c r="AI208" s="197"/>
      <c r="AJ208" s="197"/>
      <c r="AK208" s="197"/>
    </row>
    <row r="209" spans="2:37" ht="15" customHeight="1" x14ac:dyDescent="0.3">
      <c r="H209" s="40"/>
      <c r="I209" s="40"/>
      <c r="J209" s="2"/>
      <c r="K209" s="2"/>
      <c r="L209" s="2"/>
      <c r="M209" s="40"/>
      <c r="N209" s="39"/>
      <c r="O209" s="39"/>
      <c r="P209" s="39"/>
      <c r="Q209" s="39"/>
      <c r="R209" s="39"/>
      <c r="S209" s="39"/>
      <c r="T209" s="39"/>
      <c r="U209" s="39"/>
      <c r="V209" s="39"/>
      <c r="W209" s="39"/>
      <c r="X209" s="39"/>
      <c r="Y209" s="39"/>
      <c r="Z209" s="39"/>
      <c r="AA209" s="39"/>
      <c r="AB209" s="39"/>
      <c r="AC209" s="39"/>
      <c r="AF209" s="2" t="s">
        <v>32</v>
      </c>
      <c r="AG209" s="196">
        <f>IF(ISBLANK($AF$8),"",$AF$8)</f>
        <v>0</v>
      </c>
      <c r="AH209" s="196"/>
      <c r="AI209" s="196"/>
      <c r="AJ209" s="196"/>
      <c r="AK209" s="196"/>
    </row>
    <row r="210" spans="2:37" ht="15" customHeight="1" x14ac:dyDescent="0.3"/>
    <row r="211" spans="2:37" ht="15" customHeight="1" x14ac:dyDescent="0.3">
      <c r="B211" s="1" t="s">
        <v>17</v>
      </c>
      <c r="C211" s="1"/>
      <c r="D211" s="1"/>
      <c r="E211" s="1"/>
      <c r="F211" s="1"/>
      <c r="G211" s="1"/>
      <c r="H211" s="1"/>
      <c r="I211" s="1"/>
    </row>
    <row r="212" spans="2:37" ht="15" customHeight="1" x14ac:dyDescent="0.3">
      <c r="B212" s="270" t="s">
        <v>270</v>
      </c>
      <c r="C212" s="270"/>
      <c r="D212" s="270"/>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c r="AA212" s="270"/>
      <c r="AB212" s="270"/>
      <c r="AC212" s="270"/>
      <c r="AD212" s="270"/>
      <c r="AE212" s="270"/>
      <c r="AF212" s="270"/>
      <c r="AG212" s="270"/>
      <c r="AH212" s="270"/>
      <c r="AI212" s="270"/>
      <c r="AJ212" s="270"/>
      <c r="AK212" s="270"/>
    </row>
    <row r="213" spans="2:37" ht="15" customHeight="1" x14ac:dyDescent="0.3">
      <c r="B213" s="270"/>
      <c r="C213" s="270"/>
      <c r="D213" s="270"/>
      <c r="E213" s="270"/>
      <c r="F213" s="270"/>
      <c r="G213" s="270"/>
      <c r="H213" s="270"/>
      <c r="I213" s="270"/>
      <c r="J213" s="270"/>
      <c r="K213" s="270"/>
      <c r="L213" s="270"/>
      <c r="M213" s="270"/>
      <c r="N213" s="270"/>
      <c r="O213" s="270"/>
      <c r="P213" s="270"/>
      <c r="Q213" s="270"/>
      <c r="R213" s="270"/>
      <c r="S213" s="270"/>
      <c r="T213" s="270"/>
      <c r="U213" s="270"/>
      <c r="V213" s="270"/>
      <c r="W213" s="270"/>
      <c r="X213" s="270"/>
      <c r="Y213" s="270"/>
      <c r="Z213" s="270"/>
      <c r="AA213" s="270"/>
      <c r="AB213" s="270"/>
      <c r="AC213" s="270"/>
      <c r="AD213" s="270"/>
      <c r="AE213" s="270"/>
      <c r="AF213" s="270"/>
      <c r="AG213" s="270"/>
      <c r="AH213" s="270"/>
      <c r="AI213" s="270"/>
      <c r="AJ213" s="270"/>
      <c r="AK213" s="270"/>
    </row>
    <row r="214" spans="2:37" ht="15" customHeight="1" x14ac:dyDescent="0.3">
      <c r="B214" s="270"/>
      <c r="C214" s="270"/>
      <c r="D214" s="270"/>
      <c r="E214" s="270"/>
      <c r="F214" s="270"/>
      <c r="G214" s="270"/>
      <c r="H214" s="270"/>
      <c r="I214" s="270"/>
      <c r="J214" s="270"/>
      <c r="K214" s="270"/>
      <c r="L214" s="270"/>
      <c r="M214" s="270"/>
      <c r="N214" s="270"/>
      <c r="O214" s="270"/>
      <c r="P214" s="270"/>
      <c r="Q214" s="270"/>
      <c r="R214" s="270"/>
      <c r="S214" s="270"/>
      <c r="T214" s="270"/>
      <c r="U214" s="270"/>
      <c r="V214" s="270"/>
      <c r="W214" s="270"/>
      <c r="X214" s="270"/>
      <c r="Y214" s="270"/>
      <c r="Z214" s="270"/>
      <c r="AA214" s="270"/>
      <c r="AB214" s="270"/>
      <c r="AC214" s="270"/>
      <c r="AD214" s="270"/>
      <c r="AE214" s="270"/>
      <c r="AF214" s="270"/>
      <c r="AG214" s="270"/>
      <c r="AH214" s="270"/>
      <c r="AI214" s="270"/>
      <c r="AJ214" s="270"/>
      <c r="AK214" s="270"/>
    </row>
    <row r="215" spans="2:37" ht="15" customHeight="1" x14ac:dyDescent="0.3">
      <c r="B215" s="270"/>
      <c r="C215" s="270"/>
      <c r="D215" s="270"/>
      <c r="E215" s="270"/>
      <c r="F215" s="270"/>
      <c r="G215" s="270"/>
      <c r="H215" s="270"/>
      <c r="I215" s="270"/>
      <c r="J215" s="270"/>
      <c r="K215" s="270"/>
      <c r="L215" s="270"/>
      <c r="M215" s="270"/>
      <c r="N215" s="270"/>
      <c r="O215" s="270"/>
      <c r="P215" s="270"/>
      <c r="Q215" s="270"/>
      <c r="R215" s="270"/>
      <c r="S215" s="270"/>
      <c r="T215" s="270"/>
      <c r="U215" s="270"/>
      <c r="V215" s="270"/>
      <c r="W215" s="270"/>
      <c r="X215" s="270"/>
      <c r="Y215" s="270"/>
      <c r="Z215" s="270"/>
      <c r="AA215" s="270"/>
      <c r="AB215" s="270"/>
      <c r="AC215" s="270"/>
      <c r="AD215" s="270"/>
      <c r="AE215" s="270"/>
      <c r="AF215" s="270"/>
      <c r="AG215" s="270"/>
      <c r="AH215" s="270"/>
      <c r="AI215" s="270"/>
      <c r="AJ215" s="270"/>
      <c r="AK215" s="270"/>
    </row>
    <row r="216" spans="2:37" ht="15" customHeight="1" x14ac:dyDescent="0.3">
      <c r="D216" s="2" t="s">
        <v>174</v>
      </c>
      <c r="E216" s="182"/>
      <c r="F216" s="182"/>
      <c r="G216" s="182"/>
      <c r="H216" s="182"/>
      <c r="I216" s="182"/>
      <c r="J216" s="182"/>
      <c r="K216" s="182"/>
      <c r="L216" s="182"/>
      <c r="M216" s="182"/>
      <c r="N216" s="182"/>
      <c r="O216" s="182"/>
      <c r="P216" s="182"/>
      <c r="Q216" s="182"/>
      <c r="R216" s="182"/>
      <c r="S216" s="182"/>
      <c r="T216" s="182"/>
      <c r="U216" s="182"/>
      <c r="V216" s="182"/>
      <c r="W216" s="182"/>
      <c r="X216" s="182"/>
      <c r="Y216" s="182"/>
      <c r="AB216" s="2" t="s">
        <v>316</v>
      </c>
      <c r="AC216" s="2"/>
      <c r="AD216" s="2"/>
      <c r="AE216" s="2"/>
    </row>
    <row r="217" spans="2:37" ht="15" customHeight="1" x14ac:dyDescent="0.3">
      <c r="D217" s="2" t="s">
        <v>128</v>
      </c>
      <c r="E217" s="200"/>
      <c r="F217" s="200"/>
      <c r="G217" s="200"/>
      <c r="H217" s="200"/>
      <c r="I217" s="200"/>
      <c r="J217" s="200"/>
      <c r="K217" s="200"/>
      <c r="L217" s="200"/>
      <c r="M217" s="200"/>
      <c r="N217" s="200"/>
      <c r="O217" s="200"/>
      <c r="P217" s="200"/>
      <c r="Q217" s="200"/>
      <c r="R217" s="200"/>
      <c r="S217" s="200"/>
      <c r="T217" s="200"/>
      <c r="U217" s="200"/>
      <c r="V217" s="200"/>
      <c r="W217" s="200"/>
      <c r="X217" s="200"/>
      <c r="Y217" s="200"/>
    </row>
    <row r="218" spans="2:37" ht="15" customHeight="1" x14ac:dyDescent="0.3">
      <c r="D218" s="2" t="s">
        <v>129</v>
      </c>
      <c r="E218" s="200"/>
      <c r="F218" s="200"/>
      <c r="G218" s="200"/>
      <c r="H218" s="200"/>
      <c r="I218" s="200"/>
      <c r="J218" s="200"/>
      <c r="K218" s="200"/>
      <c r="L218" s="200"/>
      <c r="M218" s="200"/>
      <c r="N218" s="200"/>
      <c r="O218" s="200"/>
      <c r="P218" s="200"/>
      <c r="Q218" s="200"/>
      <c r="R218" s="200"/>
      <c r="S218" s="200"/>
      <c r="T218" s="200"/>
      <c r="U218" s="200"/>
      <c r="V218" s="200"/>
      <c r="W218" s="200"/>
      <c r="X218" s="200"/>
      <c r="Y218" s="200"/>
    </row>
    <row r="219" spans="2:37" ht="15" customHeight="1" x14ac:dyDescent="0.3">
      <c r="D219" s="2" t="s">
        <v>314</v>
      </c>
      <c r="E219" s="200"/>
      <c r="F219" s="200"/>
      <c r="G219" s="200"/>
      <c r="H219" s="200"/>
      <c r="I219" s="200"/>
      <c r="J219" s="200"/>
      <c r="K219" s="200"/>
      <c r="L219" s="68"/>
      <c r="M219" s="68"/>
      <c r="N219" s="103" t="s">
        <v>132</v>
      </c>
      <c r="O219" s="200"/>
      <c r="P219" s="200"/>
      <c r="Q219" s="200"/>
      <c r="R219" s="200"/>
      <c r="S219" s="68"/>
      <c r="T219" s="68"/>
      <c r="U219" s="68"/>
      <c r="V219" s="103" t="s">
        <v>133</v>
      </c>
      <c r="W219" s="201"/>
      <c r="X219" s="201"/>
      <c r="Y219" s="201"/>
    </row>
    <row r="220" spans="2:37" ht="15" customHeight="1" x14ac:dyDescent="0.3">
      <c r="D220" s="2" t="s">
        <v>130</v>
      </c>
      <c r="E220" s="202"/>
      <c r="F220" s="202"/>
      <c r="G220" s="202"/>
      <c r="H220" s="202"/>
      <c r="I220" s="202"/>
      <c r="J220" s="202"/>
      <c r="K220" s="202"/>
      <c r="L220" s="202"/>
      <c r="M220" s="202"/>
      <c r="N220" s="202"/>
      <c r="O220" s="202"/>
      <c r="P220" s="202"/>
      <c r="Q220" s="202"/>
      <c r="R220" s="202"/>
      <c r="S220" s="202"/>
      <c r="T220" s="202"/>
      <c r="U220" s="202"/>
      <c r="V220" s="202"/>
      <c r="W220" s="202"/>
      <c r="X220" s="202"/>
      <c r="Y220" s="202"/>
    </row>
    <row r="221" spans="2:37" ht="15" customHeight="1" x14ac:dyDescent="0.3">
      <c r="D221" s="2" t="s">
        <v>134</v>
      </c>
      <c r="E221" s="216"/>
      <c r="F221" s="216"/>
      <c r="G221" s="216"/>
      <c r="H221" s="216"/>
      <c r="I221" s="216"/>
      <c r="U221" s="60"/>
      <c r="V221" s="60"/>
      <c r="W221" s="60"/>
    </row>
    <row r="222" spans="2:37" ht="15" customHeight="1" x14ac:dyDescent="0.3">
      <c r="D222" s="2"/>
      <c r="E222" s="68"/>
      <c r="F222" s="68"/>
      <c r="G222" s="68"/>
      <c r="H222" s="68"/>
      <c r="I222" s="68"/>
      <c r="U222" s="60"/>
      <c r="V222" s="60"/>
      <c r="W222" s="60"/>
    </row>
    <row r="223" spans="2:37" ht="15" customHeight="1" x14ac:dyDescent="0.3">
      <c r="D223" s="2" t="s">
        <v>175</v>
      </c>
      <c r="E223" s="88"/>
      <c r="F223" s="88"/>
      <c r="G223" s="88"/>
      <c r="H223" s="88"/>
      <c r="I223" s="88"/>
      <c r="J223" s="88"/>
      <c r="K223" s="88"/>
      <c r="L223" s="88"/>
      <c r="M223" s="88"/>
      <c r="N223" s="88"/>
      <c r="O223" s="88"/>
      <c r="P223" s="88"/>
      <c r="Q223" s="88"/>
      <c r="R223" s="88"/>
      <c r="S223" s="88"/>
      <c r="T223" s="88"/>
      <c r="U223" s="60"/>
      <c r="V223" s="60"/>
      <c r="W223" s="60"/>
      <c r="AB223" s="2" t="s">
        <v>171</v>
      </c>
      <c r="AC223" s="195"/>
      <c r="AD223" s="195"/>
      <c r="AE223" s="195"/>
      <c r="AF223" s="195"/>
      <c r="AG223" s="195"/>
    </row>
    <row r="224" spans="2:37" ht="15" customHeight="1" x14ac:dyDescent="0.3"/>
    <row r="225" spans="1:39" ht="15" customHeight="1" x14ac:dyDescent="0.3"/>
    <row r="226" spans="1:39" ht="15" customHeight="1" x14ac:dyDescent="0.3">
      <c r="A226" s="43" t="s">
        <v>84</v>
      </c>
      <c r="B226" s="63"/>
      <c r="C226" s="63"/>
      <c r="D226" s="63"/>
      <c r="E226" s="63"/>
      <c r="F226" s="63"/>
      <c r="G226" s="63"/>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124" t="s">
        <v>395</v>
      </c>
      <c r="AF226" s="241">
        <f>'Form 2C.1 - Design'!$AE$7</f>
        <v>0</v>
      </c>
      <c r="AG226" s="241"/>
      <c r="AH226" s="241"/>
      <c r="AI226" s="241"/>
      <c r="AJ226" s="241"/>
      <c r="AK226" s="241"/>
      <c r="AL226" s="45"/>
      <c r="AM226" s="13" t="s">
        <v>289</v>
      </c>
    </row>
    <row r="227" spans="1:39" ht="15" customHeight="1" x14ac:dyDescent="0.3">
      <c r="A227" s="46"/>
      <c r="B227" s="8"/>
      <c r="C227" s="8"/>
      <c r="D227" s="8"/>
      <c r="E227" s="8"/>
      <c r="F227" s="8"/>
      <c r="G227" s="8"/>
      <c r="H227" s="8"/>
      <c r="I227" s="8"/>
      <c r="J227" s="47" t="s">
        <v>85</v>
      </c>
      <c r="K227" s="47"/>
      <c r="L227" s="48" t="s">
        <v>188</v>
      </c>
      <c r="M227" s="47"/>
      <c r="N227" s="47"/>
      <c r="O227" s="48"/>
      <c r="P227" s="48"/>
      <c r="Q227" s="8"/>
      <c r="R227" s="8"/>
      <c r="S227" s="8"/>
      <c r="T227" s="8"/>
      <c r="U227" s="8"/>
      <c r="V227" s="8"/>
      <c r="W227" s="8"/>
      <c r="X227" s="8"/>
      <c r="Y227" s="8"/>
      <c r="Z227" s="8"/>
      <c r="AA227" s="8"/>
      <c r="AB227" s="8"/>
      <c r="AC227" s="8"/>
      <c r="AD227" s="8"/>
      <c r="AE227" s="8"/>
      <c r="AF227" s="8"/>
      <c r="AG227" s="8"/>
      <c r="AH227" s="8"/>
      <c r="AI227" s="8"/>
      <c r="AJ227" s="8"/>
      <c r="AK227" s="8"/>
      <c r="AL227" s="49"/>
      <c r="AM227" s="96">
        <f>SUM(AM229:AM242)</f>
        <v>11</v>
      </c>
    </row>
    <row r="228" spans="1:39" ht="15" customHeight="1" x14ac:dyDescent="0.3">
      <c r="A228" s="46"/>
      <c r="B228" s="8"/>
      <c r="C228" s="8"/>
      <c r="D228" s="8"/>
      <c r="E228" s="8"/>
      <c r="F228" s="8"/>
      <c r="G228" s="8"/>
      <c r="H228" s="8"/>
      <c r="I228" s="8"/>
      <c r="J228" s="9" t="str">
        <f>IF(Tables!F25=0,"",Tables!F25&amp;":")</f>
        <v/>
      </c>
      <c r="K228" s="47"/>
      <c r="L228" s="8"/>
      <c r="M228" s="47"/>
      <c r="N228" s="47"/>
      <c r="O228" s="48"/>
      <c r="P228" s="48"/>
      <c r="Q228" s="8"/>
      <c r="R228" s="8"/>
      <c r="S228" s="8"/>
      <c r="T228" s="8"/>
      <c r="U228" s="8"/>
      <c r="V228" s="8"/>
      <c r="W228" s="8"/>
      <c r="X228" s="8"/>
      <c r="Y228" s="8"/>
      <c r="Z228" s="8"/>
      <c r="AA228" s="8"/>
      <c r="AB228" s="8"/>
      <c r="AC228" s="8"/>
      <c r="AD228" s="8"/>
      <c r="AE228" s="8"/>
      <c r="AF228" s="8"/>
      <c r="AG228" s="8"/>
      <c r="AH228" s="8"/>
      <c r="AI228" s="8"/>
      <c r="AJ228" s="8"/>
      <c r="AK228" s="8"/>
      <c r="AL228" s="49"/>
      <c r="AM228" s="96">
        <f>IF(L228="",0,1)</f>
        <v>0</v>
      </c>
    </row>
    <row r="229" spans="1:39" ht="15" customHeight="1" x14ac:dyDescent="0.3">
      <c r="A229" s="46"/>
      <c r="B229" s="8"/>
      <c r="C229" s="8"/>
      <c r="D229" s="8"/>
      <c r="E229" s="8"/>
      <c r="F229" s="8"/>
      <c r="G229" s="8"/>
      <c r="H229" s="8"/>
      <c r="I229" s="8"/>
      <c r="J229" s="9" t="s">
        <v>88</v>
      </c>
      <c r="K229" s="9"/>
      <c r="L229" s="8" t="str">
        <f>IF(AND(ISBLANK(AA92),ISBLANK(AE92)),Tables!J4,IF(AQ92=1,"",IF(AN92&lt;6,Tables!J4,"")))</f>
        <v>Emergency Spillway Section not completed</v>
      </c>
      <c r="M229" s="9"/>
      <c r="N229" s="9"/>
      <c r="O229" s="8"/>
      <c r="P229" s="8"/>
      <c r="Q229" s="8"/>
      <c r="R229" s="8"/>
      <c r="S229" s="8"/>
      <c r="T229" s="8"/>
      <c r="U229" s="8"/>
      <c r="V229" s="8"/>
      <c r="W229" s="8"/>
      <c r="X229" s="8"/>
      <c r="Y229" s="8"/>
      <c r="Z229" s="8"/>
      <c r="AA229" s="8"/>
      <c r="AB229" s="8"/>
      <c r="AC229" s="8"/>
      <c r="AD229" s="8"/>
      <c r="AE229" s="8"/>
      <c r="AF229" s="8"/>
      <c r="AG229" s="8"/>
      <c r="AH229" s="8"/>
      <c r="AI229" s="8"/>
      <c r="AJ229" s="8"/>
      <c r="AK229" s="8"/>
      <c r="AL229" s="49"/>
      <c r="AM229" s="96">
        <f>IF(L229="",0,1)</f>
        <v>1</v>
      </c>
    </row>
    <row r="230" spans="1:39" ht="15" customHeight="1" x14ac:dyDescent="0.3">
      <c r="A230" s="46"/>
      <c r="B230" s="8"/>
      <c r="C230" s="8"/>
      <c r="D230" s="8"/>
      <c r="E230" s="8"/>
      <c r="F230" s="8"/>
      <c r="G230" s="8"/>
      <c r="H230" s="8"/>
      <c r="I230" s="8"/>
      <c r="J230" s="9" t="s">
        <v>299</v>
      </c>
      <c r="K230" s="9"/>
      <c r="L230" s="8" t="str">
        <f>IF(AND(ISBLANK(AA92),ISBLANK(AE92)),Tables!J13,IF(AM151=1,"",IF(OR(AO146&lt;1,AO147&lt;1),Tables!J13,"")))</f>
        <v>Freeboard  &lt;  1.0 ft</v>
      </c>
      <c r="M230" s="9"/>
      <c r="N230" s="9"/>
      <c r="O230" s="8"/>
      <c r="P230" s="8"/>
      <c r="Q230" s="8"/>
      <c r="R230" s="8"/>
      <c r="S230" s="8"/>
      <c r="T230" s="8"/>
      <c r="U230" s="8"/>
      <c r="V230" s="8"/>
      <c r="W230" s="8"/>
      <c r="X230" s="8"/>
      <c r="Y230" s="8"/>
      <c r="Z230" s="8"/>
      <c r="AA230" s="8"/>
      <c r="AB230" s="8"/>
      <c r="AC230" s="8"/>
      <c r="AD230" s="8"/>
      <c r="AE230" s="8"/>
      <c r="AF230" s="8"/>
      <c r="AG230" s="8"/>
      <c r="AH230" s="8"/>
      <c r="AI230" s="8"/>
      <c r="AJ230" s="8"/>
      <c r="AK230" s="8"/>
      <c r="AL230" s="49"/>
      <c r="AM230" s="96">
        <f>IF(L230="",0,1)</f>
        <v>1</v>
      </c>
    </row>
    <row r="231" spans="1:39" ht="15" customHeight="1" x14ac:dyDescent="0.3">
      <c r="A231" s="46"/>
      <c r="B231" s="8"/>
      <c r="C231" s="8"/>
      <c r="D231" s="8"/>
      <c r="E231" s="8"/>
      <c r="F231" s="8"/>
      <c r="G231" s="8"/>
      <c r="H231" s="8"/>
      <c r="I231" s="8"/>
      <c r="J231" s="9" t="s">
        <v>107</v>
      </c>
      <c r="K231" s="9"/>
      <c r="L231" s="8" t="str">
        <f>IF(AP100&lt;2,Tables!J8,"")</f>
        <v>Latitude and/or Longitude not provided</v>
      </c>
      <c r="M231" s="9"/>
      <c r="N231" s="9"/>
      <c r="O231" s="8"/>
      <c r="P231" s="8"/>
      <c r="Q231" s="8"/>
      <c r="R231" s="8"/>
      <c r="S231" s="8"/>
      <c r="T231" s="8"/>
      <c r="U231" s="8"/>
      <c r="V231" s="8"/>
      <c r="W231" s="8"/>
      <c r="X231" s="8"/>
      <c r="Y231" s="8"/>
      <c r="Z231" s="8"/>
      <c r="AA231" s="8"/>
      <c r="AB231" s="8"/>
      <c r="AC231" s="8"/>
      <c r="AD231" s="8"/>
      <c r="AE231" s="8"/>
      <c r="AF231" s="8"/>
      <c r="AG231" s="8"/>
      <c r="AH231" s="8"/>
      <c r="AI231" s="8"/>
      <c r="AJ231" s="8"/>
      <c r="AK231" s="8"/>
      <c r="AL231" s="49"/>
      <c r="AM231" s="96">
        <f t="shared" ref="AM231:AM241" si="13">IF(L231="",0,1)</f>
        <v>1</v>
      </c>
    </row>
    <row r="232" spans="1:39" ht="15" customHeight="1" x14ac:dyDescent="0.3">
      <c r="A232" s="46"/>
      <c r="B232" s="8"/>
      <c r="C232" s="8"/>
      <c r="D232" s="8"/>
      <c r="E232" s="8"/>
      <c r="F232" s="8"/>
      <c r="G232" s="8"/>
      <c r="H232" s="8"/>
      <c r="I232" s="8"/>
      <c r="J232" s="9"/>
      <c r="K232" s="9"/>
      <c r="L232" s="8" t="str">
        <f>IF(AND(AS99=1,AS100=1),Tables!$J$14,IF(OR(AS99=3,AS100=3),Tables!$J$14,""))</f>
        <v>Latitude and/or Longitude has been entered as text.  Change to a number.</v>
      </c>
      <c r="M232" s="9"/>
      <c r="N232" s="9"/>
      <c r="O232" s="8"/>
      <c r="P232" s="8"/>
      <c r="Q232" s="8"/>
      <c r="R232" s="8"/>
      <c r="S232" s="8"/>
      <c r="T232" s="8"/>
      <c r="U232" s="8"/>
      <c r="V232" s="8"/>
      <c r="W232" s="8"/>
      <c r="X232" s="8"/>
      <c r="Y232" s="8"/>
      <c r="Z232" s="8"/>
      <c r="AA232" s="8"/>
      <c r="AB232" s="8"/>
      <c r="AC232" s="8"/>
      <c r="AD232" s="8"/>
      <c r="AE232" s="8"/>
      <c r="AF232" s="8"/>
      <c r="AG232" s="8"/>
      <c r="AH232" s="8"/>
      <c r="AI232" s="8"/>
      <c r="AJ232" s="8"/>
      <c r="AK232" s="8"/>
      <c r="AL232" s="49"/>
      <c r="AM232" s="96">
        <f t="shared" si="13"/>
        <v>1</v>
      </c>
    </row>
    <row r="233" spans="1:39" ht="15" customHeight="1" x14ac:dyDescent="0.3">
      <c r="A233" s="46"/>
      <c r="B233" s="8"/>
      <c r="C233" s="8"/>
      <c r="D233" s="8"/>
      <c r="E233" s="8"/>
      <c r="F233" s="8"/>
      <c r="G233" s="8"/>
      <c r="H233" s="8"/>
      <c r="I233" s="8"/>
      <c r="J233" s="9" t="s">
        <v>141</v>
      </c>
      <c r="K233" s="9"/>
      <c r="L233" s="8" t="str">
        <f>IF(AO113=2,Tables!J9,IF(AN113=1,"",Tables!J9))</f>
        <v>WQv Required &gt; WQv Provided</v>
      </c>
      <c r="M233" s="9"/>
      <c r="N233" s="9"/>
      <c r="O233" s="8"/>
      <c r="P233" s="8"/>
      <c r="Q233" s="8"/>
      <c r="R233" s="8"/>
      <c r="S233" s="8"/>
      <c r="T233" s="8"/>
      <c r="U233" s="8"/>
      <c r="V233" s="8"/>
      <c r="W233" s="8"/>
      <c r="X233" s="8"/>
      <c r="Y233" s="8"/>
      <c r="Z233" s="8"/>
      <c r="AA233" s="8"/>
      <c r="AB233" s="8"/>
      <c r="AC233" s="8"/>
      <c r="AD233" s="8"/>
      <c r="AE233" s="8"/>
      <c r="AF233" s="8"/>
      <c r="AG233" s="8"/>
      <c r="AH233" s="8"/>
      <c r="AI233" s="8"/>
      <c r="AJ233" s="8"/>
      <c r="AK233" s="8"/>
      <c r="AL233" s="49"/>
      <c r="AM233" s="96">
        <f t="shared" si="13"/>
        <v>1</v>
      </c>
    </row>
    <row r="234" spans="1:39" ht="15" customHeight="1" x14ac:dyDescent="0.3">
      <c r="A234" s="46"/>
      <c r="B234" s="8"/>
      <c r="C234" s="8"/>
      <c r="D234" s="8"/>
      <c r="E234" s="8"/>
      <c r="F234" s="8"/>
      <c r="G234" s="8"/>
      <c r="H234" s="8"/>
      <c r="I234" s="8"/>
      <c r="J234" s="101" t="s">
        <v>242</v>
      </c>
      <c r="K234" s="9"/>
      <c r="L234" s="8"/>
      <c r="M234" s="9"/>
      <c r="N234" s="9"/>
      <c r="O234" s="8"/>
      <c r="P234" s="8"/>
      <c r="Q234" s="8"/>
      <c r="R234" s="8"/>
      <c r="S234" s="8"/>
      <c r="T234" s="8"/>
      <c r="U234" s="8"/>
      <c r="V234" s="8"/>
      <c r="W234" s="8"/>
      <c r="X234" s="8"/>
      <c r="Y234" s="8"/>
      <c r="Z234" s="8"/>
      <c r="AA234" s="8"/>
      <c r="AB234" s="8"/>
      <c r="AC234" s="8"/>
      <c r="AD234" s="8"/>
      <c r="AE234" s="8"/>
      <c r="AF234" s="8"/>
      <c r="AG234" s="8"/>
      <c r="AH234" s="8"/>
      <c r="AI234" s="8"/>
      <c r="AJ234" s="8"/>
      <c r="AK234" s="8"/>
      <c r="AL234" s="49"/>
      <c r="AM234" s="96">
        <f t="shared" si="13"/>
        <v>0</v>
      </c>
    </row>
    <row r="235" spans="1:39" ht="15" customHeight="1" x14ac:dyDescent="0.3">
      <c r="A235" s="46"/>
      <c r="B235" s="8"/>
      <c r="C235" s="8"/>
      <c r="D235" s="8"/>
      <c r="E235" s="8"/>
      <c r="F235" s="8"/>
      <c r="G235" s="8"/>
      <c r="H235" s="8"/>
      <c r="I235" s="8"/>
      <c r="J235" s="9" t="s">
        <v>146</v>
      </c>
      <c r="K235" s="9"/>
      <c r="L235" s="8" t="str">
        <f>IF(AM141&gt;0,Tables!J10,"")</f>
        <v>As-Built does not match Design, provide a reason in the Comments section</v>
      </c>
      <c r="M235" s="9"/>
      <c r="N235" s="9"/>
      <c r="O235" s="8"/>
      <c r="P235" s="8"/>
      <c r="Q235" s="8"/>
      <c r="R235" s="8"/>
      <c r="S235" s="8"/>
      <c r="T235" s="8"/>
      <c r="U235" s="8"/>
      <c r="V235" s="8"/>
      <c r="W235" s="8"/>
      <c r="X235" s="8"/>
      <c r="Y235" s="8"/>
      <c r="Z235" s="8"/>
      <c r="AA235" s="8"/>
      <c r="AB235" s="8"/>
      <c r="AC235" s="8"/>
      <c r="AD235" s="8"/>
      <c r="AE235" s="8"/>
      <c r="AF235" s="8"/>
      <c r="AG235" s="8"/>
      <c r="AH235" s="8"/>
      <c r="AI235" s="8"/>
      <c r="AJ235" s="8"/>
      <c r="AK235" s="8"/>
      <c r="AL235" s="49"/>
      <c r="AM235" s="96">
        <f t="shared" si="13"/>
        <v>1</v>
      </c>
    </row>
    <row r="236" spans="1:39" ht="15" customHeight="1" x14ac:dyDescent="0.3">
      <c r="A236" s="46"/>
      <c r="B236" s="8"/>
      <c r="C236" s="8"/>
      <c r="D236" s="8"/>
      <c r="E236" s="8"/>
      <c r="F236" s="8"/>
      <c r="G236" s="8"/>
      <c r="H236" s="8"/>
      <c r="I236" s="8"/>
      <c r="J236" s="9" t="s">
        <v>147</v>
      </c>
      <c r="K236" s="9"/>
      <c r="L236" s="8" t="str">
        <f>IF(AN141&gt;0,Tables!J10,"")</f>
        <v>As-Built does not match Design, provide a reason in the Comments section</v>
      </c>
      <c r="M236" s="9"/>
      <c r="N236" s="9"/>
      <c r="O236" s="8"/>
      <c r="P236" s="8"/>
      <c r="Q236" s="8"/>
      <c r="R236" s="8"/>
      <c r="S236" s="8"/>
      <c r="T236" s="8"/>
      <c r="U236" s="8"/>
      <c r="V236" s="8"/>
      <c r="W236" s="8"/>
      <c r="X236" s="8"/>
      <c r="Y236" s="8"/>
      <c r="Z236" s="8"/>
      <c r="AA236" s="8"/>
      <c r="AB236" s="8"/>
      <c r="AC236" s="8"/>
      <c r="AD236" s="8"/>
      <c r="AE236" s="8"/>
      <c r="AF236" s="8"/>
      <c r="AG236" s="8"/>
      <c r="AH236" s="8"/>
      <c r="AI236" s="8"/>
      <c r="AJ236" s="8"/>
      <c r="AK236" s="8"/>
      <c r="AL236" s="49"/>
      <c r="AM236" s="96">
        <f t="shared" si="13"/>
        <v>1</v>
      </c>
    </row>
    <row r="237" spans="1:39" ht="15" customHeight="1" x14ac:dyDescent="0.3">
      <c r="A237" s="46"/>
      <c r="B237" s="8"/>
      <c r="C237" s="8"/>
      <c r="D237" s="8"/>
      <c r="E237" s="8"/>
      <c r="F237" s="8"/>
      <c r="G237" s="8"/>
      <c r="H237" s="8"/>
      <c r="I237" s="8"/>
      <c r="J237" s="9" t="s">
        <v>83</v>
      </c>
      <c r="K237" s="9"/>
      <c r="L237" s="8" t="str">
        <f>IF(AND(ISBLANK(AA92),ISBLANK(AE92)),Tables!J7,IF(AM151=1,"",IF(AO141&gt;0,Tables!J7,"")))</f>
        <v>Max Stage for 2, 5, 10, 25, and/or 50-year storm  &gt; emergency spillway crest elevation</v>
      </c>
      <c r="M237" s="9"/>
      <c r="N237" s="9"/>
      <c r="O237" s="8"/>
      <c r="P237" s="8"/>
      <c r="Q237" s="8"/>
      <c r="R237" s="8"/>
      <c r="S237" s="8"/>
      <c r="T237" s="8"/>
      <c r="U237" s="8"/>
      <c r="V237" s="8"/>
      <c r="W237" s="8"/>
      <c r="X237" s="8"/>
      <c r="Y237" s="8"/>
      <c r="Z237" s="8"/>
      <c r="AA237" s="8"/>
      <c r="AB237" s="8"/>
      <c r="AC237" s="8"/>
      <c r="AD237" s="8"/>
      <c r="AE237" s="8"/>
      <c r="AF237" s="8"/>
      <c r="AG237" s="8"/>
      <c r="AH237" s="8"/>
      <c r="AI237" s="8"/>
      <c r="AJ237" s="8"/>
      <c r="AK237" s="8"/>
      <c r="AL237" s="49"/>
      <c r="AM237" s="96">
        <f t="shared" si="13"/>
        <v>1</v>
      </c>
    </row>
    <row r="238" spans="1:39" ht="15" customHeight="1" x14ac:dyDescent="0.3">
      <c r="A238" s="46"/>
      <c r="B238" s="8"/>
      <c r="C238" s="8"/>
      <c r="D238" s="8"/>
      <c r="E238" s="8"/>
      <c r="F238" s="8"/>
      <c r="G238" s="8"/>
      <c r="H238" s="8"/>
      <c r="I238" s="8"/>
      <c r="J238" s="9" t="s">
        <v>254</v>
      </c>
      <c r="K238" s="9"/>
      <c r="L238" s="8" t="str">
        <f>IF(AT141&gt;0,Tables!J18,"")</f>
        <v>Outlet Control Structure Velocity &gt; 6 ft/s</v>
      </c>
      <c r="M238" s="9"/>
      <c r="N238" s="9"/>
      <c r="O238" s="8"/>
      <c r="P238" s="8"/>
      <c r="Q238" s="8"/>
      <c r="R238" s="8"/>
      <c r="S238" s="8"/>
      <c r="T238" s="8"/>
      <c r="U238" s="8"/>
      <c r="V238" s="8"/>
      <c r="W238" s="8"/>
      <c r="X238" s="8"/>
      <c r="Y238" s="8"/>
      <c r="Z238" s="8"/>
      <c r="AA238" s="8"/>
      <c r="AB238" s="8"/>
      <c r="AC238" s="8"/>
      <c r="AD238" s="8"/>
      <c r="AE238" s="8"/>
      <c r="AF238" s="8"/>
      <c r="AG238" s="8"/>
      <c r="AH238" s="8"/>
      <c r="AI238" s="8"/>
      <c r="AJ238" s="8"/>
      <c r="AK238" s="8"/>
      <c r="AL238" s="49"/>
      <c r="AM238" s="96">
        <f t="shared" si="13"/>
        <v>1</v>
      </c>
    </row>
    <row r="239" spans="1:39" ht="15" customHeight="1" x14ac:dyDescent="0.3">
      <c r="A239" s="46"/>
      <c r="B239" s="8"/>
      <c r="C239" s="8"/>
      <c r="D239" s="8"/>
      <c r="E239" s="8"/>
      <c r="F239" s="8"/>
      <c r="G239" s="8"/>
      <c r="H239" s="8"/>
      <c r="I239" s="8"/>
      <c r="J239" s="9"/>
      <c r="K239" s="9"/>
      <c r="L239" s="8" t="str">
        <f>IF(AP141&gt;0,Tables!J6,"")</f>
        <v>Emergency Spillway Velocity &gt; 6 ft/s</v>
      </c>
      <c r="M239" s="9"/>
      <c r="N239" s="9"/>
      <c r="O239" s="8"/>
      <c r="P239" s="8"/>
      <c r="Q239" s="8"/>
      <c r="R239" s="8"/>
      <c r="S239" s="8"/>
      <c r="T239" s="8"/>
      <c r="U239" s="8"/>
      <c r="V239" s="8"/>
      <c r="W239" s="8"/>
      <c r="X239" s="8"/>
      <c r="Y239" s="8"/>
      <c r="Z239" s="8"/>
      <c r="AA239" s="8"/>
      <c r="AB239" s="8"/>
      <c r="AC239" s="8"/>
      <c r="AD239" s="8"/>
      <c r="AE239" s="8"/>
      <c r="AF239" s="8"/>
      <c r="AG239" s="8"/>
      <c r="AH239" s="8"/>
      <c r="AI239" s="8"/>
      <c r="AJ239" s="8"/>
      <c r="AK239" s="8"/>
      <c r="AL239" s="49"/>
      <c r="AM239" s="96">
        <f>IF(L239="",0,1)</f>
        <v>1</v>
      </c>
    </row>
    <row r="240" spans="1:39" ht="15" customHeight="1" x14ac:dyDescent="0.3">
      <c r="A240" s="46"/>
      <c r="B240" s="8"/>
      <c r="C240" s="8"/>
      <c r="D240" s="8"/>
      <c r="E240" s="8"/>
      <c r="F240" s="8"/>
      <c r="G240" s="8"/>
      <c r="H240" s="8"/>
      <c r="I240" s="8"/>
      <c r="J240" s="9" t="s">
        <v>90</v>
      </c>
      <c r="K240" s="9"/>
      <c r="L240" s="8" t="str">
        <f>IF(OR(AQ141&gt;0,AS141&gt;0),Tables!J5,"")</f>
        <v>Total Post Q &gt; Pre Q</v>
      </c>
      <c r="M240" s="9"/>
      <c r="N240" s="9"/>
      <c r="O240" s="8"/>
      <c r="P240" s="8"/>
      <c r="Q240" s="8"/>
      <c r="R240" s="8"/>
      <c r="S240" s="8"/>
      <c r="T240" s="8"/>
      <c r="U240" s="8"/>
      <c r="V240" s="8"/>
      <c r="W240" s="8"/>
      <c r="X240" s="8"/>
      <c r="Y240" s="8"/>
      <c r="Z240" s="8"/>
      <c r="AA240" s="8"/>
      <c r="AB240" s="8"/>
      <c r="AC240" s="8"/>
      <c r="AD240" s="8"/>
      <c r="AE240" s="8"/>
      <c r="AF240" s="8"/>
      <c r="AG240" s="8"/>
      <c r="AH240" s="8"/>
      <c r="AI240" s="8"/>
      <c r="AJ240" s="8"/>
      <c r="AK240" s="8"/>
      <c r="AL240" s="49"/>
      <c r="AM240" s="96">
        <f t="shared" si="13"/>
        <v>1</v>
      </c>
    </row>
    <row r="241" spans="1:39" ht="15" customHeight="1" x14ac:dyDescent="0.3">
      <c r="A241" s="46"/>
      <c r="B241" s="8"/>
      <c r="C241" s="8"/>
      <c r="D241" s="8"/>
      <c r="E241" s="8"/>
      <c r="F241" s="8"/>
      <c r="G241" s="8"/>
      <c r="H241" s="8"/>
      <c r="I241" s="8"/>
      <c r="J241" s="9"/>
      <c r="K241" s="9"/>
      <c r="L241" s="8" t="str">
        <f>IF(AQ136="Yes",IF(AND(ISBLANK('Form 2C.1 - Design'!$C$180),ISBLANK('Form 2C.1 - Design'!$F$180)),Tables!$J$15,IF(AND($AQ$141&gt;0,$AP$136=2),Tables!$J$15,"")),"")</f>
        <v/>
      </c>
      <c r="M241" s="9"/>
      <c r="N241" s="9"/>
      <c r="O241" s="8"/>
      <c r="P241" s="8"/>
      <c r="Q241" s="8"/>
      <c r="R241" s="8"/>
      <c r="S241" s="8"/>
      <c r="T241" s="8"/>
      <c r="U241" s="8"/>
      <c r="V241" s="8"/>
      <c r="W241" s="8"/>
      <c r="X241" s="8"/>
      <c r="Y241" s="8"/>
      <c r="Z241" s="8"/>
      <c r="AA241" s="8"/>
      <c r="AB241" s="8"/>
      <c r="AC241" s="8"/>
      <c r="AD241" s="8"/>
      <c r="AE241" s="8"/>
      <c r="AF241" s="8"/>
      <c r="AG241" s="8"/>
      <c r="AH241" s="8"/>
      <c r="AI241" s="8"/>
      <c r="AJ241" s="8"/>
      <c r="AK241" s="8"/>
      <c r="AL241" s="49"/>
      <c r="AM241" s="96">
        <f t="shared" si="13"/>
        <v>0</v>
      </c>
    </row>
    <row r="242" spans="1:39" ht="15" customHeight="1" x14ac:dyDescent="0.3">
      <c r="A242" s="46"/>
      <c r="B242" s="8"/>
      <c r="C242" s="8"/>
      <c r="D242" s="8"/>
      <c r="E242" s="8"/>
      <c r="F242" s="8"/>
      <c r="G242" s="8"/>
      <c r="H242" s="8"/>
      <c r="I242" s="8"/>
      <c r="J242" s="9"/>
      <c r="K242" s="9"/>
      <c r="L242" s="8" t="str">
        <f>IF(AQ137="Yes",IF(AND(ISBLANK('Form 2C.1 - Design'!$C$182),ISBLANK('Form 2C.1 - Design'!$F$182)),Tables!$J$16,IF(AND($AR$141&gt;0,$AP$137=2),Tables!$J$16,"")),"")</f>
        <v/>
      </c>
      <c r="M242" s="9"/>
      <c r="N242" s="9"/>
      <c r="O242" s="8"/>
      <c r="P242" s="8"/>
      <c r="Q242" s="8"/>
      <c r="R242" s="8"/>
      <c r="S242" s="8"/>
      <c r="T242" s="8"/>
      <c r="U242" s="8"/>
      <c r="V242" s="8"/>
      <c r="W242" s="8"/>
      <c r="X242" s="8"/>
      <c r="Y242" s="8"/>
      <c r="Z242" s="8"/>
      <c r="AA242" s="8"/>
      <c r="AB242" s="8"/>
      <c r="AC242" s="8"/>
      <c r="AD242" s="8"/>
      <c r="AE242" s="8"/>
      <c r="AF242" s="8"/>
      <c r="AG242" s="8"/>
      <c r="AH242" s="8"/>
      <c r="AI242" s="8"/>
      <c r="AJ242" s="8"/>
      <c r="AK242" s="8"/>
      <c r="AL242" s="49"/>
      <c r="AM242" s="96">
        <f>IF(L242="",0,1)</f>
        <v>0</v>
      </c>
    </row>
    <row r="243" spans="1:39" ht="15" customHeight="1" x14ac:dyDescent="0.3">
      <c r="A243" s="50"/>
      <c r="B243" s="51"/>
      <c r="C243" s="51"/>
      <c r="D243" s="51"/>
      <c r="E243" s="51"/>
      <c r="F243" s="51"/>
      <c r="G243" s="51"/>
      <c r="H243" s="51"/>
      <c r="I243" s="51"/>
      <c r="J243" s="114" t="s">
        <v>418</v>
      </c>
      <c r="K243" s="52"/>
      <c r="L243" s="115" t="str">
        <f>IF(AM182=10,Tables!J17,IF(AQ182&gt;0,Tables!J17,0))</f>
        <v>All required photographs are not provided</v>
      </c>
      <c r="M243" s="52"/>
      <c r="N243" s="52"/>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3"/>
      <c r="AM243" s="96">
        <f>IF(L243="",0,1)</f>
        <v>1</v>
      </c>
    </row>
    <row r="244" spans="1:39" ht="15" customHeight="1" x14ac:dyDescent="0.3">
      <c r="AM244" s="22"/>
    </row>
    <row r="245" spans="1:39" ht="15" customHeight="1" x14ac:dyDescent="0.3"/>
    <row r="246" spans="1:39" ht="15" customHeight="1" x14ac:dyDescent="0.3"/>
    <row r="247" spans="1:39" ht="15" customHeight="1" x14ac:dyDescent="0.3"/>
    <row r="248" spans="1:39" ht="15" customHeight="1" x14ac:dyDescent="0.3"/>
    <row r="249" spans="1:39" ht="15" customHeight="1" x14ac:dyDescent="0.3">
      <c r="AK249" s="33"/>
    </row>
    <row r="250" spans="1:39" ht="15" customHeight="1" x14ac:dyDescent="0.3">
      <c r="B250" s="198">
        <f>Tables!$F$13</f>
        <v>45931</v>
      </c>
      <c r="C250" s="198"/>
      <c r="D250" s="198"/>
      <c r="E250" s="198"/>
      <c r="F250" s="198"/>
      <c r="G250" s="198"/>
      <c r="H250" s="198"/>
      <c r="R250" s="188" t="s">
        <v>306</v>
      </c>
      <c r="S250" s="188"/>
      <c r="T250" s="188"/>
      <c r="U250" s="188"/>
      <c r="AK250" s="33"/>
    </row>
    <row r="251" spans="1:39" ht="15" customHeight="1" x14ac:dyDescent="0.3"/>
    <row r="252" spans="1:39" ht="15" customHeight="1" x14ac:dyDescent="0.3"/>
    <row r="253" spans="1:39" ht="15" customHeight="1" x14ac:dyDescent="0.3"/>
    <row r="254" spans="1:39" ht="15" customHeight="1" x14ac:dyDescent="0.3"/>
    <row r="255" spans="1:39" ht="15" hidden="1" customHeight="1" x14ac:dyDescent="0.3"/>
    <row r="256" spans="1:39" ht="15" hidden="1" customHeight="1" x14ac:dyDescent="0.3"/>
    <row r="257" ht="15" hidden="1" customHeight="1" x14ac:dyDescent="0.3"/>
    <row r="258" ht="15" hidden="1" customHeight="1" x14ac:dyDescent="0.3"/>
    <row r="259" ht="15" hidden="1" customHeight="1" x14ac:dyDescent="0.3"/>
    <row r="260" ht="15" hidden="1" customHeight="1" x14ac:dyDescent="0.3"/>
    <row r="261" ht="15" hidden="1" customHeight="1" x14ac:dyDescent="0.3"/>
    <row r="262" ht="15" hidden="1" customHeight="1" x14ac:dyDescent="0.3"/>
    <row r="263" ht="15" hidden="1" customHeight="1" x14ac:dyDescent="0.3"/>
    <row r="264" ht="15" hidden="1" customHeight="1" x14ac:dyDescent="0.3"/>
    <row r="265" ht="15" hidden="1" customHeight="1" x14ac:dyDescent="0.3"/>
    <row r="266" ht="15" hidden="1" customHeight="1" x14ac:dyDescent="0.3"/>
    <row r="267" ht="15" hidden="1" customHeight="1" x14ac:dyDescent="0.3"/>
    <row r="268" ht="15" hidden="1" customHeight="1" x14ac:dyDescent="0.3"/>
    <row r="269" ht="15" hidden="1" customHeight="1" x14ac:dyDescent="0.3"/>
    <row r="270" ht="15" hidden="1" customHeight="1" x14ac:dyDescent="0.3"/>
    <row r="271" ht="15" hidden="1" customHeight="1" x14ac:dyDescent="0.3"/>
    <row r="272" ht="15" hidden="1" customHeight="1" x14ac:dyDescent="0.3"/>
    <row r="273" ht="15" hidden="1" customHeight="1" x14ac:dyDescent="0.3"/>
    <row r="274" ht="15" hidden="1" customHeight="1" x14ac:dyDescent="0.3"/>
    <row r="275" ht="15" hidden="1" customHeight="1" x14ac:dyDescent="0.3"/>
    <row r="276" ht="15" hidden="1" customHeight="1" x14ac:dyDescent="0.3"/>
    <row r="277" ht="15" hidden="1" customHeight="1" x14ac:dyDescent="0.3"/>
    <row r="278" ht="15" hidden="1" customHeight="1" x14ac:dyDescent="0.3"/>
    <row r="279" ht="15" hidden="1" customHeight="1" x14ac:dyDescent="0.3"/>
    <row r="280" ht="15" hidden="1" customHeight="1" x14ac:dyDescent="0.3"/>
    <row r="281" ht="15" hidden="1" customHeight="1" x14ac:dyDescent="0.3"/>
    <row r="282" ht="15" hidden="1" customHeight="1" x14ac:dyDescent="0.3"/>
    <row r="283" ht="15" hidden="1" customHeight="1" x14ac:dyDescent="0.3"/>
    <row r="284" ht="15" hidden="1" customHeight="1" x14ac:dyDescent="0.3"/>
    <row r="285" ht="15" hidden="1" customHeight="1" x14ac:dyDescent="0.3"/>
    <row r="286" ht="15" hidden="1" customHeight="1" x14ac:dyDescent="0.3"/>
    <row r="287" ht="15" hidden="1" customHeight="1" x14ac:dyDescent="0.3"/>
    <row r="288" ht="15" hidden="1" customHeight="1" x14ac:dyDescent="0.3"/>
    <row r="289" ht="15" hidden="1" customHeight="1" x14ac:dyDescent="0.3"/>
    <row r="290" ht="15" hidden="1" customHeight="1" x14ac:dyDescent="0.3"/>
    <row r="291" ht="15" hidden="1" customHeight="1" x14ac:dyDescent="0.3"/>
    <row r="292" ht="15" hidden="1" customHeight="1" x14ac:dyDescent="0.3"/>
    <row r="293" ht="15" hidden="1" customHeight="1" x14ac:dyDescent="0.3"/>
    <row r="294" ht="15" hidden="1" customHeight="1" x14ac:dyDescent="0.3"/>
    <row r="295" ht="15" hidden="1" customHeight="1" x14ac:dyDescent="0.3"/>
    <row r="296" ht="15" hidden="1" customHeight="1" x14ac:dyDescent="0.3"/>
    <row r="297" ht="15" hidden="1" customHeight="1" x14ac:dyDescent="0.3"/>
    <row r="298" ht="15" hidden="1" customHeight="1" x14ac:dyDescent="0.3"/>
    <row r="299" ht="15" hidden="1" customHeight="1" x14ac:dyDescent="0.3"/>
    <row r="300" ht="15" hidden="1" customHeight="1" x14ac:dyDescent="0.3"/>
    <row r="301" ht="15" hidden="1" customHeight="1" x14ac:dyDescent="0.3"/>
    <row r="302" ht="15" hidden="1" customHeight="1" x14ac:dyDescent="0.3"/>
    <row r="303" ht="15" hidden="1" customHeight="1" x14ac:dyDescent="0.3"/>
    <row r="304" ht="15" hidden="1" customHeight="1" x14ac:dyDescent="0.3"/>
    <row r="305" ht="15" hidden="1" customHeight="1" x14ac:dyDescent="0.3"/>
    <row r="306" ht="15" hidden="1" customHeight="1" x14ac:dyDescent="0.3"/>
    <row r="307" ht="15" hidden="1" customHeight="1" x14ac:dyDescent="0.3"/>
    <row r="308" ht="15" hidden="1" customHeight="1" x14ac:dyDescent="0.3"/>
    <row r="309" ht="15" hidden="1" customHeight="1" x14ac:dyDescent="0.3"/>
    <row r="310" ht="15" hidden="1" customHeight="1" x14ac:dyDescent="0.3"/>
    <row r="311" ht="15" hidden="1" customHeight="1" x14ac:dyDescent="0.3"/>
    <row r="312" ht="15" hidden="1" customHeight="1" x14ac:dyDescent="0.3"/>
    <row r="313" ht="15" hidden="1" customHeight="1" x14ac:dyDescent="0.3"/>
    <row r="314" ht="15" hidden="1" customHeight="1" x14ac:dyDescent="0.3"/>
    <row r="315" ht="15" hidden="1" customHeight="1" x14ac:dyDescent="0.3"/>
  </sheetData>
  <sheetProtection algorithmName="SHA-512" hashValue="Y216vfEaJwHT2dy1wEXGttvWDYxUzNMMKfnpzI8uIT4q6EAHgbCKO5ChuKLuwg6UB5U6ASgWZFUr7HQ0ZV8BiQ==" saltValue="e7l9cAZw2YQK36dImb8okQ==" spinCount="100000" sheet="1" objects="1" scenarios="1" selectLockedCells="1"/>
  <mergeCells count="506">
    <mergeCell ref="AE6:AK6"/>
    <mergeCell ref="I145:K145"/>
    <mergeCell ref="I144:K144"/>
    <mergeCell ref="I143:K143"/>
    <mergeCell ref="I142:K142"/>
    <mergeCell ref="AH147:AK147"/>
    <mergeCell ref="AH146:AK146"/>
    <mergeCell ref="AH145:AK145"/>
    <mergeCell ref="AH144:AK144"/>
    <mergeCell ref="AD147:AF147"/>
    <mergeCell ref="AD146:AF146"/>
    <mergeCell ref="AD145:AF145"/>
    <mergeCell ref="AD144:AF144"/>
    <mergeCell ref="AD143:AF143"/>
    <mergeCell ref="AD142:AF142"/>
    <mergeCell ref="Y147:AB147"/>
    <mergeCell ref="Y146:AB146"/>
    <mergeCell ref="Y145:AB145"/>
    <mergeCell ref="Y144:AB144"/>
    <mergeCell ref="Y143:AB143"/>
    <mergeCell ref="Y142:AB142"/>
    <mergeCell ref="AH143:AK143"/>
    <mergeCell ref="AD141:AF141"/>
    <mergeCell ref="Y141:AB141"/>
    <mergeCell ref="U141:W141"/>
    <mergeCell ref="Q141:S141"/>
    <mergeCell ref="M141:O141"/>
    <mergeCell ref="I141:K141"/>
    <mergeCell ref="U147:W147"/>
    <mergeCell ref="U146:W146"/>
    <mergeCell ref="U145:W145"/>
    <mergeCell ref="U144:W144"/>
    <mergeCell ref="U143:W143"/>
    <mergeCell ref="U142:W142"/>
    <mergeCell ref="Q147:S147"/>
    <mergeCell ref="Q146:S146"/>
    <mergeCell ref="Q145:S145"/>
    <mergeCell ref="Q144:S144"/>
    <mergeCell ref="Q143:S143"/>
    <mergeCell ref="Q142:S142"/>
    <mergeCell ref="M147:O147"/>
    <mergeCell ref="M146:O146"/>
    <mergeCell ref="M145:O145"/>
    <mergeCell ref="M144:O144"/>
    <mergeCell ref="M143:O143"/>
    <mergeCell ref="M142:O142"/>
    <mergeCell ref="M140:O140"/>
    <mergeCell ref="M137:O137"/>
    <mergeCell ref="M136:O136"/>
    <mergeCell ref="M135:O135"/>
    <mergeCell ref="AD140:AF140"/>
    <mergeCell ref="AD139:AF139"/>
    <mergeCell ref="AD138:AF138"/>
    <mergeCell ref="AD137:AF137"/>
    <mergeCell ref="AD136:AF136"/>
    <mergeCell ref="AD135:AF135"/>
    <mergeCell ref="Y140:AB140"/>
    <mergeCell ref="Y139:AB139"/>
    <mergeCell ref="Y138:AB138"/>
    <mergeCell ref="Y137:AB137"/>
    <mergeCell ref="Y136:AB136"/>
    <mergeCell ref="Y135:AB135"/>
    <mergeCell ref="U140:W140"/>
    <mergeCell ref="U139:W139"/>
    <mergeCell ref="U138:W138"/>
    <mergeCell ref="U137:W137"/>
    <mergeCell ref="U136:W136"/>
    <mergeCell ref="U135:W135"/>
    <mergeCell ref="Q140:S140"/>
    <mergeCell ref="Q139:S139"/>
    <mergeCell ref="AI21:AJ21"/>
    <mergeCell ref="AI22:AJ22"/>
    <mergeCell ref="P24:Q24"/>
    <mergeCell ref="AI24:AJ24"/>
    <mergeCell ref="F25:I25"/>
    <mergeCell ref="Z25:AC25"/>
    <mergeCell ref="Z31:AK31"/>
    <mergeCell ref="AG127:AJ127"/>
    <mergeCell ref="AG131:AJ131"/>
    <mergeCell ref="AA129:AD129"/>
    <mergeCell ref="AG130:AJ130"/>
    <mergeCell ref="AG128:AJ128"/>
    <mergeCell ref="AA131:AD131"/>
    <mergeCell ref="V129:X129"/>
    <mergeCell ref="AA128:AD128"/>
    <mergeCell ref="V127:X127"/>
    <mergeCell ref="V130:X130"/>
    <mergeCell ref="V128:X128"/>
    <mergeCell ref="AA127:AD127"/>
    <mergeCell ref="AA130:AD130"/>
    <mergeCell ref="Q87:S87"/>
    <mergeCell ref="Q88:S88"/>
    <mergeCell ref="M88:O88"/>
    <mergeCell ref="I88:K88"/>
    <mergeCell ref="Q138:S138"/>
    <mergeCell ref="Q137:S137"/>
    <mergeCell ref="Q136:S136"/>
    <mergeCell ref="Q135:S135"/>
    <mergeCell ref="AH135:AK135"/>
    <mergeCell ref="AH136:AK136"/>
    <mergeCell ref="AH137:AK137"/>
    <mergeCell ref="B130:D130"/>
    <mergeCell ref="B127:D127"/>
    <mergeCell ref="AG129:AJ129"/>
    <mergeCell ref="B129:D129"/>
    <mergeCell ref="M128:P128"/>
    <mergeCell ref="B128:D128"/>
    <mergeCell ref="G130:J130"/>
    <mergeCell ref="I137:K137"/>
    <mergeCell ref="I136:K136"/>
    <mergeCell ref="I135:K135"/>
    <mergeCell ref="M130:P130"/>
    <mergeCell ref="M127:P127"/>
    <mergeCell ref="M129:P129"/>
    <mergeCell ref="G129:J129"/>
    <mergeCell ref="G128:J128"/>
    <mergeCell ref="G127:J127"/>
    <mergeCell ref="G17:I17"/>
    <mergeCell ref="I87:K87"/>
    <mergeCell ref="M87:O87"/>
    <mergeCell ref="B250:H250"/>
    <mergeCell ref="R250:U250"/>
    <mergeCell ref="A133:AL133"/>
    <mergeCell ref="AH134:AK134"/>
    <mergeCell ref="AH141:AK141"/>
    <mergeCell ref="AH140:AK140"/>
    <mergeCell ref="F176:V176"/>
    <mergeCell ref="F177:V177"/>
    <mergeCell ref="F178:V178"/>
    <mergeCell ref="F179:V179"/>
    <mergeCell ref="AH138:AK138"/>
    <mergeCell ref="AH139:AK139"/>
    <mergeCell ref="AH142:AK142"/>
    <mergeCell ref="F169:V169"/>
    <mergeCell ref="F170:V170"/>
    <mergeCell ref="F168:V168"/>
    <mergeCell ref="C145:D145"/>
    <mergeCell ref="C143:D143"/>
    <mergeCell ref="C142:D142"/>
    <mergeCell ref="C144:D144"/>
    <mergeCell ref="B212:AK215"/>
    <mergeCell ref="G19:I19"/>
    <mergeCell ref="I38:K38"/>
    <mergeCell ref="I39:K39"/>
    <mergeCell ref="E8:Z8"/>
    <mergeCell ref="F66:I66"/>
    <mergeCell ref="G18:I18"/>
    <mergeCell ref="D57:Z57"/>
    <mergeCell ref="G118:J118"/>
    <mergeCell ref="B120:D120"/>
    <mergeCell ref="J113:L113"/>
    <mergeCell ref="R108:U108"/>
    <mergeCell ref="F69:I69"/>
    <mergeCell ref="L49:N49"/>
    <mergeCell ref="L48:N48"/>
    <mergeCell ref="B86:D86"/>
    <mergeCell ref="O94:R94"/>
    <mergeCell ref="E94:H94"/>
    <mergeCell ref="I86:K86"/>
    <mergeCell ref="M86:O86"/>
    <mergeCell ref="I99:L99"/>
    <mergeCell ref="I100:L100"/>
    <mergeCell ref="G31:R31"/>
    <mergeCell ref="P21:Q21"/>
    <mergeCell ref="P22:Q22"/>
    <mergeCell ref="K62:M62"/>
    <mergeCell ref="P62:Q62"/>
    <mergeCell ref="B56:H56"/>
    <mergeCell ref="BG1:CC4"/>
    <mergeCell ref="AV6:BI7"/>
    <mergeCell ref="N17:P17"/>
    <mergeCell ref="N19:P19"/>
    <mergeCell ref="AG42:AI42"/>
    <mergeCell ref="S1:AL4"/>
    <mergeCell ref="AG29:AK29"/>
    <mergeCell ref="F22:I22"/>
    <mergeCell ref="AG41:AI41"/>
    <mergeCell ref="AG40:AI40"/>
    <mergeCell ref="A12:AL12"/>
    <mergeCell ref="N15:Q15"/>
    <mergeCell ref="Z19:AB19"/>
    <mergeCell ref="AG39:AI39"/>
    <mergeCell ref="AG38:AI38"/>
    <mergeCell ref="AF7:AK7"/>
    <mergeCell ref="AF8:AK8"/>
    <mergeCell ref="G16:J16"/>
    <mergeCell ref="Y22:AB22"/>
    <mergeCell ref="N16:P16"/>
    <mergeCell ref="E7:Z7"/>
    <mergeCell ref="I43:K43"/>
    <mergeCell ref="B59:H59"/>
    <mergeCell ref="B61:D61"/>
    <mergeCell ref="F61:G61"/>
    <mergeCell ref="I44:K44"/>
    <mergeCell ref="I45:K45"/>
    <mergeCell ref="I46:K46"/>
    <mergeCell ref="I47:K47"/>
    <mergeCell ref="M121:P121"/>
    <mergeCell ref="M120:P120"/>
    <mergeCell ref="G121:J121"/>
    <mergeCell ref="M118:P118"/>
    <mergeCell ref="O95:Q95"/>
    <mergeCell ref="E88:G88"/>
    <mergeCell ref="B87:D87"/>
    <mergeCell ref="N46:P46"/>
    <mergeCell ref="P68:Q68"/>
    <mergeCell ref="K61:M61"/>
    <mergeCell ref="P61:Q61"/>
    <mergeCell ref="B84:D84"/>
    <mergeCell ref="M75:O75"/>
    <mergeCell ref="N47:P47"/>
    <mergeCell ref="B62:D62"/>
    <mergeCell ref="F62:G62"/>
    <mergeCell ref="AG121:AJ121"/>
    <mergeCell ref="AA122:AD122"/>
    <mergeCell ref="AG125:AJ125"/>
    <mergeCell ref="AG126:AJ126"/>
    <mergeCell ref="AA124:AD124"/>
    <mergeCell ref="AA123:AD123"/>
    <mergeCell ref="AA121:AD121"/>
    <mergeCell ref="AG123:AJ123"/>
    <mergeCell ref="AG124:AJ124"/>
    <mergeCell ref="AA126:AD126"/>
    <mergeCell ref="AA125:AD125"/>
    <mergeCell ref="Z177:AC177"/>
    <mergeCell ref="AG156:AK156"/>
    <mergeCell ref="F172:V172"/>
    <mergeCell ref="B158:AK165"/>
    <mergeCell ref="R154:U154"/>
    <mergeCell ref="C146:D146"/>
    <mergeCell ref="D155:Z155"/>
    <mergeCell ref="B154:H154"/>
    <mergeCell ref="F171:V171"/>
    <mergeCell ref="AG155:AK155"/>
    <mergeCell ref="I147:K147"/>
    <mergeCell ref="I146:K146"/>
    <mergeCell ref="C147:D147"/>
    <mergeCell ref="Z170:AC170"/>
    <mergeCell ref="AH170:AK170"/>
    <mergeCell ref="AE179:AI179"/>
    <mergeCell ref="AE172:AI172"/>
    <mergeCell ref="F175:V175"/>
    <mergeCell ref="AD134:AF134"/>
    <mergeCell ref="G131:J131"/>
    <mergeCell ref="C135:D135"/>
    <mergeCell ref="C136:D136"/>
    <mergeCell ref="C137:D137"/>
    <mergeCell ref="C138:D138"/>
    <mergeCell ref="C139:D139"/>
    <mergeCell ref="C140:D140"/>
    <mergeCell ref="V131:X131"/>
    <mergeCell ref="M131:P131"/>
    <mergeCell ref="M139:O139"/>
    <mergeCell ref="M138:O138"/>
    <mergeCell ref="B131:D131"/>
    <mergeCell ref="Y134:AB134"/>
    <mergeCell ref="U134:W134"/>
    <mergeCell ref="Q134:S134"/>
    <mergeCell ref="M134:O134"/>
    <mergeCell ref="I134:K134"/>
    <mergeCell ref="I140:K140"/>
    <mergeCell ref="I139:K139"/>
    <mergeCell ref="I138:K138"/>
    <mergeCell ref="V122:X122"/>
    <mergeCell ref="V121:X121"/>
    <mergeCell ref="M123:P123"/>
    <mergeCell ref="B126:D126"/>
    <mergeCell ref="G122:J122"/>
    <mergeCell ref="V124:X124"/>
    <mergeCell ref="M124:P124"/>
    <mergeCell ref="G123:J123"/>
    <mergeCell ref="G124:J124"/>
    <mergeCell ref="V123:X123"/>
    <mergeCell ref="G125:J125"/>
    <mergeCell ref="B124:D124"/>
    <mergeCell ref="B125:D125"/>
    <mergeCell ref="V125:X125"/>
    <mergeCell ref="M125:P125"/>
    <mergeCell ref="B122:D122"/>
    <mergeCell ref="B123:D123"/>
    <mergeCell ref="G126:J126"/>
    <mergeCell ref="M126:P126"/>
    <mergeCell ref="AD100:AG100"/>
    <mergeCell ref="D109:Z109"/>
    <mergeCell ref="B108:H108"/>
    <mergeCell ref="E96:G96"/>
    <mergeCell ref="AA117:AD117"/>
    <mergeCell ref="A115:AL115"/>
    <mergeCell ref="G117:J117"/>
    <mergeCell ref="A90:AL90"/>
    <mergeCell ref="E95:G95"/>
    <mergeCell ref="Y95:AA95"/>
    <mergeCell ref="Y96:AA96"/>
    <mergeCell ref="A112:AL112"/>
    <mergeCell ref="A102:AL102"/>
    <mergeCell ref="H103:P103"/>
    <mergeCell ref="AA103:AI103"/>
    <mergeCell ref="E104:F104"/>
    <mergeCell ref="L104:M104"/>
    <mergeCell ref="X104:Y104"/>
    <mergeCell ref="AE104:AF104"/>
    <mergeCell ref="E106:F106"/>
    <mergeCell ref="X106:Y106"/>
    <mergeCell ref="Z18:AB18"/>
    <mergeCell ref="Z17:AB17"/>
    <mergeCell ref="Z16:AC16"/>
    <mergeCell ref="W86:Y86"/>
    <mergeCell ref="O25:Q25"/>
    <mergeCell ref="N29:R29"/>
    <mergeCell ref="AB42:AD42"/>
    <mergeCell ref="AB41:AD41"/>
    <mergeCell ref="M80:O80"/>
    <mergeCell ref="AA85:AC85"/>
    <mergeCell ref="AB43:AD43"/>
    <mergeCell ref="AB44:AD44"/>
    <mergeCell ref="AB45:AD45"/>
    <mergeCell ref="R56:U56"/>
    <mergeCell ref="M85:O85"/>
    <mergeCell ref="Q85:S85"/>
    <mergeCell ref="M84:O84"/>
    <mergeCell ref="Q84:S84"/>
    <mergeCell ref="Q81:S81"/>
    <mergeCell ref="AA84:AC84"/>
    <mergeCell ref="N43:P43"/>
    <mergeCell ref="AB46:AD46"/>
    <mergeCell ref="N44:P44"/>
    <mergeCell ref="N45:P45"/>
    <mergeCell ref="AI80:AK80"/>
    <mergeCell ref="Z69:AC69"/>
    <mergeCell ref="A71:AL71"/>
    <mergeCell ref="Y73:AB73"/>
    <mergeCell ref="W85:Y85"/>
    <mergeCell ref="W81:Y81"/>
    <mergeCell ref="W80:Y80"/>
    <mergeCell ref="Q80:S80"/>
    <mergeCell ref="N73:Q73"/>
    <mergeCell ref="AH75:AJ75"/>
    <mergeCell ref="P69:Q69"/>
    <mergeCell ref="AA80:AC80"/>
    <mergeCell ref="AA81:AC81"/>
    <mergeCell ref="E73:H73"/>
    <mergeCell ref="E74:G74"/>
    <mergeCell ref="E75:G75"/>
    <mergeCell ref="E76:G76"/>
    <mergeCell ref="B85:D85"/>
    <mergeCell ref="E86:G86"/>
    <mergeCell ref="E85:G85"/>
    <mergeCell ref="I85:K85"/>
    <mergeCell ref="I84:K84"/>
    <mergeCell ref="W87:Y87"/>
    <mergeCell ref="W84:Y84"/>
    <mergeCell ref="M76:O76"/>
    <mergeCell ref="E81:G81"/>
    <mergeCell ref="E84:G84"/>
    <mergeCell ref="E80:G80"/>
    <mergeCell ref="I80:K80"/>
    <mergeCell ref="I81:K81"/>
    <mergeCell ref="E87:G87"/>
    <mergeCell ref="Q86:S86"/>
    <mergeCell ref="AB40:AD40"/>
    <mergeCell ref="AB39:AD39"/>
    <mergeCell ref="AB38:AD38"/>
    <mergeCell ref="Z66:AC66"/>
    <mergeCell ref="AE87:AG87"/>
    <mergeCell ref="AE88:AG88"/>
    <mergeCell ref="AE86:AG86"/>
    <mergeCell ref="AE84:AG84"/>
    <mergeCell ref="AE85:AG85"/>
    <mergeCell ref="AA86:AC86"/>
    <mergeCell ref="AE80:AG80"/>
    <mergeCell ref="AI88:AK88"/>
    <mergeCell ref="AI85:AK85"/>
    <mergeCell ref="AI86:AK86"/>
    <mergeCell ref="AI87:AK87"/>
    <mergeCell ref="AI84:AK84"/>
    <mergeCell ref="AE81:AG81"/>
    <mergeCell ref="AI81:AK81"/>
    <mergeCell ref="AA87:AC87"/>
    <mergeCell ref="AG57:AK57"/>
    <mergeCell ref="AI68:AJ68"/>
    <mergeCell ref="AI69:AJ69"/>
    <mergeCell ref="AH76:AJ76"/>
    <mergeCell ref="V59:AB59"/>
    <mergeCell ref="AD59:AK59"/>
    <mergeCell ref="W88:Y88"/>
    <mergeCell ref="AG58:AK58"/>
    <mergeCell ref="V61:X61"/>
    <mergeCell ref="Z61:AA61"/>
    <mergeCell ref="AD61:AF61"/>
    <mergeCell ref="AI61:AJ61"/>
    <mergeCell ref="V62:X62"/>
    <mergeCell ref="Z62:AA62"/>
    <mergeCell ref="AD62:AF62"/>
    <mergeCell ref="AI62:AJ62"/>
    <mergeCell ref="AG120:AJ120"/>
    <mergeCell ref="AG122:AJ122"/>
    <mergeCell ref="AA118:AD118"/>
    <mergeCell ref="M122:P122"/>
    <mergeCell ref="B88:D88"/>
    <mergeCell ref="B121:D121"/>
    <mergeCell ref="G119:J119"/>
    <mergeCell ref="G120:J120"/>
    <mergeCell ref="AG118:AJ118"/>
    <mergeCell ref="AG119:AJ119"/>
    <mergeCell ref="O96:Q96"/>
    <mergeCell ref="B118:D118"/>
    <mergeCell ref="M119:P119"/>
    <mergeCell ref="B119:D119"/>
    <mergeCell ref="AH96:AJ96"/>
    <mergeCell ref="AG110:AK110"/>
    <mergeCell ref="AG109:AK109"/>
    <mergeCell ref="AD99:AG99"/>
    <mergeCell ref="AH94:AK94"/>
    <mergeCell ref="AH95:AJ95"/>
    <mergeCell ref="V118:X118"/>
    <mergeCell ref="V119:X119"/>
    <mergeCell ref="AA88:AC88"/>
    <mergeCell ref="V120:X120"/>
    <mergeCell ref="AA120:AD120"/>
    <mergeCell ref="AA119:AD119"/>
    <mergeCell ref="AD113:AF113"/>
    <mergeCell ref="A98:AL98"/>
    <mergeCell ref="Y94:AB94"/>
    <mergeCell ref="V126:X126"/>
    <mergeCell ref="AG17:AI17"/>
    <mergeCell ref="AH25:AJ25"/>
    <mergeCell ref="AG19:AI19"/>
    <mergeCell ref="AE48:AG48"/>
    <mergeCell ref="AG35:AK35"/>
    <mergeCell ref="AG33:AK33"/>
    <mergeCell ref="AG43:AI43"/>
    <mergeCell ref="M81:O81"/>
    <mergeCell ref="AB47:AD47"/>
    <mergeCell ref="AG44:AI44"/>
    <mergeCell ref="AG45:AI45"/>
    <mergeCell ref="AG46:AI46"/>
    <mergeCell ref="AG47:AI47"/>
    <mergeCell ref="K60:M60"/>
    <mergeCell ref="AD60:AF60"/>
    <mergeCell ref="AH66:AJ66"/>
    <mergeCell ref="P65:Q65"/>
    <mergeCell ref="O66:Q66"/>
    <mergeCell ref="AC223:AG223"/>
    <mergeCell ref="Y186:Z186"/>
    <mergeCell ref="AC186:AI186"/>
    <mergeCell ref="Y188:Z188"/>
    <mergeCell ref="AH177:AK177"/>
    <mergeCell ref="AE178:AK178"/>
    <mergeCell ref="AG15:AJ15"/>
    <mergeCell ref="AG16:AI16"/>
    <mergeCell ref="I40:K40"/>
    <mergeCell ref="I41:K41"/>
    <mergeCell ref="I42:K42"/>
    <mergeCell ref="N38:P38"/>
    <mergeCell ref="N39:P39"/>
    <mergeCell ref="N40:P40"/>
    <mergeCell ref="N42:P42"/>
    <mergeCell ref="N41:P41"/>
    <mergeCell ref="N33:R33"/>
    <mergeCell ref="N35:R35"/>
    <mergeCell ref="AE49:AG49"/>
    <mergeCell ref="AH73:AK73"/>
    <mergeCell ref="Y76:AA76"/>
    <mergeCell ref="Y75:AA75"/>
    <mergeCell ref="Y74:AA74"/>
    <mergeCell ref="K59:R59"/>
    <mergeCell ref="Y190:Z190"/>
    <mergeCell ref="Y192:Z192"/>
    <mergeCell ref="Y194:Z194"/>
    <mergeCell ref="Y202:Z202"/>
    <mergeCell ref="Y204:Z204"/>
    <mergeCell ref="AC204:AI204"/>
    <mergeCell ref="AC202:AI202"/>
    <mergeCell ref="AC194:AI194"/>
    <mergeCell ref="AC192:AI192"/>
    <mergeCell ref="AC190:AI190"/>
    <mergeCell ref="Y196:Z196"/>
    <mergeCell ref="AC196:AI196"/>
    <mergeCell ref="Y198:Z198"/>
    <mergeCell ref="AC198:AI198"/>
    <mergeCell ref="Y200:Z200"/>
    <mergeCell ref="AC200:AI200"/>
    <mergeCell ref="AF226:AK226"/>
    <mergeCell ref="B63:D63"/>
    <mergeCell ref="F63:G63"/>
    <mergeCell ref="K63:M63"/>
    <mergeCell ref="P63:Q63"/>
    <mergeCell ref="V63:X63"/>
    <mergeCell ref="Z63:AA63"/>
    <mergeCell ref="AD63:AF63"/>
    <mergeCell ref="AI63:AJ63"/>
    <mergeCell ref="AI65:AJ65"/>
    <mergeCell ref="AC188:AI188"/>
    <mergeCell ref="B207:H207"/>
    <mergeCell ref="R207:U207"/>
    <mergeCell ref="D208:Z208"/>
    <mergeCell ref="AG208:AK208"/>
    <mergeCell ref="AG209:AK209"/>
    <mergeCell ref="E216:Y216"/>
    <mergeCell ref="E217:Y217"/>
    <mergeCell ref="E221:I221"/>
    <mergeCell ref="E218:Y218"/>
    <mergeCell ref="E219:K219"/>
    <mergeCell ref="O219:R219"/>
    <mergeCell ref="W219:Y219"/>
    <mergeCell ref="E220:Y220"/>
  </mergeCells>
  <conditionalFormatting sqref="B158:AK165">
    <cfRule type="cellIs" priority="115" stopIfTrue="1" operator="greaterThan">
      <formula>0</formula>
    </cfRule>
    <cfRule type="expression" dxfId="134" priority="116">
      <formula>$AM$227&gt;0</formula>
    </cfRule>
  </conditionalFormatting>
  <conditionalFormatting sqref="C184 E184">
    <cfRule type="expression" dxfId="133" priority="68">
      <formula>ISBLANK(C184)</formula>
    </cfRule>
  </conditionalFormatting>
  <conditionalFormatting sqref="C186 E186">
    <cfRule type="expression" dxfId="132" priority="112">
      <formula>ISBLANK(C186)</formula>
    </cfRule>
  </conditionalFormatting>
  <conditionalFormatting sqref="C188 E188">
    <cfRule type="expression" dxfId="131" priority="107">
      <formula>ISBLANK(C188)</formula>
    </cfRule>
  </conditionalFormatting>
  <conditionalFormatting sqref="C190 E190">
    <cfRule type="expression" dxfId="130" priority="104">
      <formula>ISBLANK(C190)</formula>
    </cfRule>
  </conditionalFormatting>
  <conditionalFormatting sqref="C192 E192">
    <cfRule type="expression" dxfId="129" priority="101">
      <formula>ISBLANK(C192)</formula>
    </cfRule>
  </conditionalFormatting>
  <conditionalFormatting sqref="C194 E194">
    <cfRule type="expression" dxfId="128" priority="98">
      <formula>ISBLANK(C194)</formula>
    </cfRule>
  </conditionalFormatting>
  <conditionalFormatting sqref="C196 E196">
    <cfRule type="expression" dxfId="127" priority="37">
      <formula>ISBLANK(C196)</formula>
    </cfRule>
  </conditionalFormatting>
  <conditionalFormatting sqref="C198 E198">
    <cfRule type="expression" dxfId="126" priority="34">
      <formula>ISBLANK(C198)</formula>
    </cfRule>
  </conditionalFormatting>
  <conditionalFormatting sqref="C200 E200">
    <cfRule type="expression" dxfId="125" priority="31">
      <formula>ISBLANK(C200)</formula>
    </cfRule>
  </conditionalFormatting>
  <conditionalFormatting sqref="C202 E202">
    <cfRule type="expression" dxfId="124" priority="87">
      <formula>ISBLANK(C202)</formula>
    </cfRule>
  </conditionalFormatting>
  <conditionalFormatting sqref="C204 E204">
    <cfRule type="expression" dxfId="123" priority="65">
      <formula>ISBLANK(C204)</formula>
    </cfRule>
  </conditionalFormatting>
  <conditionalFormatting sqref="D57:Z57">
    <cfRule type="cellIs" dxfId="122" priority="214" operator="equal">
      <formula>0</formula>
    </cfRule>
  </conditionalFormatting>
  <conditionalFormatting sqref="D109:Z109">
    <cfRule type="cellIs" dxfId="121" priority="212" operator="equal">
      <formula>0</formula>
    </cfRule>
  </conditionalFormatting>
  <conditionalFormatting sqref="D155:Z155">
    <cfRule type="cellIs" dxfId="120" priority="207" operator="equal">
      <formula>0</formula>
    </cfRule>
  </conditionalFormatting>
  <conditionalFormatting sqref="D208:Z208">
    <cfRule type="cellIs" dxfId="119" priority="120" operator="equal">
      <formula>0</formula>
    </cfRule>
  </conditionalFormatting>
  <conditionalFormatting sqref="E104:E105">
    <cfRule type="expression" priority="8" stopIfTrue="1">
      <formula>$AL$61=2</formula>
    </cfRule>
    <cfRule type="expression" dxfId="118" priority="10">
      <formula>#REF!</formula>
    </cfRule>
    <cfRule type="cellIs" priority="9" stopIfTrue="1" operator="greaterThan">
      <formula>0</formula>
    </cfRule>
  </conditionalFormatting>
  <conditionalFormatting sqref="E184 C184">
    <cfRule type="expression" priority="67" stopIfTrue="1">
      <formula>$AM$184=2</formula>
    </cfRule>
  </conditionalFormatting>
  <conditionalFormatting sqref="E184">
    <cfRule type="expression" dxfId="117" priority="66">
      <formula>$AN$184=2</formula>
    </cfRule>
  </conditionalFormatting>
  <conditionalFormatting sqref="E186 C186">
    <cfRule type="expression" priority="111" stopIfTrue="1">
      <formula>$AM$186=2</formula>
    </cfRule>
  </conditionalFormatting>
  <conditionalFormatting sqref="E186">
    <cfRule type="expression" dxfId="116" priority="110">
      <formula>$AN$186=2</formula>
    </cfRule>
  </conditionalFormatting>
  <conditionalFormatting sqref="E188 C188">
    <cfRule type="expression" priority="106" stopIfTrue="1">
      <formula>$AM$188=2</formula>
    </cfRule>
  </conditionalFormatting>
  <conditionalFormatting sqref="E188">
    <cfRule type="expression" dxfId="115" priority="105">
      <formula>$AN$188=2</formula>
    </cfRule>
  </conditionalFormatting>
  <conditionalFormatting sqref="E190 C190">
    <cfRule type="expression" priority="103" stopIfTrue="1">
      <formula>$AM$190=2</formula>
    </cfRule>
  </conditionalFormatting>
  <conditionalFormatting sqref="E190">
    <cfRule type="expression" dxfId="114" priority="102">
      <formula>$AN$190=2</formula>
    </cfRule>
  </conditionalFormatting>
  <conditionalFormatting sqref="E192 C192">
    <cfRule type="expression" priority="100" stopIfTrue="1">
      <formula>$AM$192=2</formula>
    </cfRule>
  </conditionalFormatting>
  <conditionalFormatting sqref="E192">
    <cfRule type="expression" dxfId="113" priority="99">
      <formula>$AN$192=2</formula>
    </cfRule>
  </conditionalFormatting>
  <conditionalFormatting sqref="E194 E196 E198 E200 C196 C198 C200 C194">
    <cfRule type="expression" priority="97" stopIfTrue="1">
      <formula>$AM194=2</formula>
    </cfRule>
  </conditionalFormatting>
  <conditionalFormatting sqref="E196 E198 E200 E194">
    <cfRule type="expression" dxfId="112" priority="96">
      <formula>$AN194=2</formula>
    </cfRule>
  </conditionalFormatting>
  <conditionalFormatting sqref="E202 C202">
    <cfRule type="expression" priority="86" stopIfTrue="1">
      <formula>$AM$202=2</formula>
    </cfRule>
  </conditionalFormatting>
  <conditionalFormatting sqref="E202">
    <cfRule type="expression" dxfId="111" priority="85">
      <formula>$AN$202=2</formula>
    </cfRule>
  </conditionalFormatting>
  <conditionalFormatting sqref="E204 C204">
    <cfRule type="expression" priority="64" stopIfTrue="1">
      <formula>$AM$204=2</formula>
    </cfRule>
  </conditionalFormatting>
  <conditionalFormatting sqref="E204">
    <cfRule type="expression" dxfId="110" priority="63">
      <formula>$AN$204=2</formula>
    </cfRule>
  </conditionalFormatting>
  <conditionalFormatting sqref="E216:E217">
    <cfRule type="expression" dxfId="109" priority="72">
      <formula>ISBLANK(E216)</formula>
    </cfRule>
  </conditionalFormatting>
  <conditionalFormatting sqref="E218:Y218 E219:E221">
    <cfRule type="expression" dxfId="108" priority="70">
      <formula>ISBLANK(E218)</formula>
    </cfRule>
  </conditionalFormatting>
  <conditionalFormatting sqref="E7:Z8 AF8">
    <cfRule type="cellIs" dxfId="107" priority="201" operator="equal">
      <formula>0</formula>
    </cfRule>
  </conditionalFormatting>
  <conditionalFormatting sqref="F168:F172 Z170 AH170">
    <cfRule type="expression" dxfId="106" priority="224">
      <formula>ISBLANK(F168)</formula>
    </cfRule>
  </conditionalFormatting>
  <conditionalFormatting sqref="F175:F179 Z177 AH177 AE178 AE179:AI179">
    <cfRule type="expression" priority="222" stopIfTrue="1">
      <formula>$AM$174=2</formula>
    </cfRule>
    <cfRule type="expression" dxfId="105" priority="1172">
      <formula>ISBLANK(F175)</formula>
    </cfRule>
  </conditionalFormatting>
  <conditionalFormatting sqref="G10 N10 Z10 AH10">
    <cfRule type="expression" dxfId="104" priority="220">
      <formula>ISBLANK(G10)</formula>
    </cfRule>
  </conditionalFormatting>
  <conditionalFormatting sqref="I142:I147">
    <cfRule type="expression" dxfId="103" priority="374" stopIfTrue="1">
      <formula>ISBLANK(I142)</formula>
    </cfRule>
    <cfRule type="cellIs" dxfId="102" priority="375" operator="notEqual">
      <formula>$I135</formula>
    </cfRule>
  </conditionalFormatting>
  <conditionalFormatting sqref="M142:M147">
    <cfRule type="cellIs" dxfId="101" priority="2018" operator="notEqual">
      <formula>$M135</formula>
    </cfRule>
    <cfRule type="expression" dxfId="100" priority="2017" stopIfTrue="1">
      <formula>ISBLANK(M142)</formula>
    </cfRule>
  </conditionalFormatting>
  <conditionalFormatting sqref="N106 Q106">
    <cfRule type="expression" dxfId="99" priority="6">
      <formula>#REF!=1</formula>
    </cfRule>
  </conditionalFormatting>
  <conditionalFormatting sqref="O219 W219">
    <cfRule type="expression" dxfId="98" priority="69">
      <formula>ISBLANK(O219)</formula>
    </cfRule>
  </conditionalFormatting>
  <conditionalFormatting sqref="Q106">
    <cfRule type="expression" dxfId="97" priority="7">
      <formula>#REF!=2</formula>
    </cfRule>
  </conditionalFormatting>
  <conditionalFormatting sqref="Q135:Q140 U135:U140 AD135:AD140">
    <cfRule type="expression" dxfId="96" priority="309">
      <formula>ISBLANK(Q135)</formula>
    </cfRule>
  </conditionalFormatting>
  <conditionalFormatting sqref="U15 U27">
    <cfRule type="cellIs" priority="186" stopIfTrue="1" operator="greaterThan">
      <formula>0</formula>
    </cfRule>
    <cfRule type="expression" dxfId="95" priority="187">
      <formula>$AN$15=1</formula>
    </cfRule>
  </conditionalFormatting>
  <conditionalFormatting sqref="U142:U145">
    <cfRule type="cellIs" dxfId="94" priority="367" operator="greaterThan">
      <formula>$Y$96</formula>
    </cfRule>
  </conditionalFormatting>
  <conditionalFormatting sqref="U142:U147">
    <cfRule type="expression" priority="2040" stopIfTrue="1">
      <formula>$AM$151=1</formula>
    </cfRule>
  </conditionalFormatting>
  <conditionalFormatting sqref="U146">
    <cfRule type="expression" dxfId="93" priority="1997">
      <formula>$AO$146&lt;1</formula>
    </cfRule>
  </conditionalFormatting>
  <conditionalFormatting sqref="U147">
    <cfRule type="expression" dxfId="92" priority="1998">
      <formula>$AO$147&lt;1</formula>
    </cfRule>
  </conditionalFormatting>
  <conditionalFormatting sqref="V61:X63 Z61:AA63 AD61:AF63 AI61:AJ63">
    <cfRule type="expression" dxfId="91" priority="28">
      <formula>$AN61=2</formula>
    </cfRule>
    <cfRule type="cellIs" priority="27" stopIfTrue="1" operator="greaterThan">
      <formula>0</formula>
    </cfRule>
  </conditionalFormatting>
  <conditionalFormatting sqref="V118:X118">
    <cfRule type="cellIs" priority="117" operator="greaterThan">
      <formula>0</formula>
    </cfRule>
    <cfRule type="expression" dxfId="90" priority="118">
      <formula>ISBLANK($V$118)</formula>
    </cfRule>
  </conditionalFormatting>
  <conditionalFormatting sqref="Y33 AB33">
    <cfRule type="expression" priority="157" stopIfTrue="1">
      <formula>$AM$33=2</formula>
    </cfRule>
    <cfRule type="cellIs" priority="156" stopIfTrue="1" operator="greaterThan">
      <formula>0</formula>
    </cfRule>
    <cfRule type="expression" dxfId="89" priority="158">
      <formula>$AM$27=2</formula>
    </cfRule>
  </conditionalFormatting>
  <conditionalFormatting sqref="Y35 AB35">
    <cfRule type="expression" priority="152" stopIfTrue="1">
      <formula>$AM$35=2</formula>
    </cfRule>
    <cfRule type="cellIs" priority="151" stopIfTrue="1" operator="greaterThan">
      <formula>0</formula>
    </cfRule>
    <cfRule type="expression" dxfId="88" priority="153">
      <formula>$AM$27=2</formula>
    </cfRule>
  </conditionalFormatting>
  <conditionalFormatting sqref="Y73 AH76 W80:W81 M135:M140">
    <cfRule type="expression" dxfId="87" priority="310">
      <formula>ISBLANK(M73)</formula>
    </cfRule>
  </conditionalFormatting>
  <conditionalFormatting sqref="Y76">
    <cfRule type="expression" dxfId="86" priority="286">
      <formula>ISBLANK(Y76)</formula>
    </cfRule>
  </conditionalFormatting>
  <conditionalFormatting sqref="Y78 AB78">
    <cfRule type="expression" dxfId="85" priority="1056">
      <formula>$AM$78=1</formula>
    </cfRule>
  </conditionalFormatting>
  <conditionalFormatting sqref="Y135:Y140 Y142:Y147 AD142:AD147">
    <cfRule type="cellIs" dxfId="84" priority="13" operator="greaterThan">
      <formula>$AQ$133</formula>
    </cfRule>
  </conditionalFormatting>
  <conditionalFormatting sqref="Y135:Y140">
    <cfRule type="expression" dxfId="83" priority="12">
      <formula>ISBLANK(Y135)</formula>
    </cfRule>
  </conditionalFormatting>
  <conditionalFormatting sqref="Y142:Y147">
    <cfRule type="expression" dxfId="82" priority="11" stopIfTrue="1">
      <formula>ISBLANK(Y142)</formula>
    </cfRule>
  </conditionalFormatting>
  <conditionalFormatting sqref="Y174">
    <cfRule type="expression" dxfId="81" priority="225">
      <formula>ISBLANK(Y174)</formula>
    </cfRule>
  </conditionalFormatting>
  <conditionalFormatting sqref="Y186 AC186">
    <cfRule type="cellIs" priority="108" stopIfTrue="1" operator="greaterThan">
      <formula>0</formula>
    </cfRule>
    <cfRule type="expression" dxfId="80" priority="109">
      <formula>$AP$186=2</formula>
    </cfRule>
  </conditionalFormatting>
  <conditionalFormatting sqref="Y188 AC188">
    <cfRule type="expression" dxfId="79" priority="95">
      <formula>$AP$188=2</formula>
    </cfRule>
    <cfRule type="cellIs" priority="94" stopIfTrue="1" operator="greaterThan">
      <formula>0</formula>
    </cfRule>
  </conditionalFormatting>
  <conditionalFormatting sqref="Y190 AC190">
    <cfRule type="cellIs" priority="92" stopIfTrue="1" operator="greaterThan">
      <formula>0</formula>
    </cfRule>
    <cfRule type="expression" dxfId="78" priority="93">
      <formula>$AP$190=2</formula>
    </cfRule>
  </conditionalFormatting>
  <conditionalFormatting sqref="Y192 AC192">
    <cfRule type="cellIs" priority="90" stopIfTrue="1" operator="greaterThan">
      <formula>0</formula>
    </cfRule>
    <cfRule type="expression" dxfId="77" priority="91">
      <formula>$AP$192=2</formula>
    </cfRule>
  </conditionalFormatting>
  <conditionalFormatting sqref="Y194 AC194 Y196 AC196 Y198 AC198 Y200 AC200">
    <cfRule type="cellIs" priority="55" stopIfTrue="1" operator="greaterThan">
      <formula>0</formula>
    </cfRule>
    <cfRule type="expression" dxfId="76" priority="56">
      <formula>$AP194=2</formula>
    </cfRule>
  </conditionalFormatting>
  <conditionalFormatting sqref="Y202 AC202">
    <cfRule type="cellIs" priority="53" stopIfTrue="1" operator="greaterThan">
      <formula>0</formula>
    </cfRule>
    <cfRule type="expression" dxfId="75" priority="54">
      <formula>$AP$202=2</formula>
    </cfRule>
  </conditionalFormatting>
  <conditionalFormatting sqref="Y204 AC204">
    <cfRule type="cellIs" priority="57" stopIfTrue="1" operator="greaterThan">
      <formula>0</formula>
    </cfRule>
    <cfRule type="expression" dxfId="74" priority="58">
      <formula>$AP$204=2</formula>
    </cfRule>
  </conditionalFormatting>
  <conditionalFormatting sqref="Y74:AA74">
    <cfRule type="expression" dxfId="73" priority="133">
      <formula>$AM$74=1</formula>
    </cfRule>
    <cfRule type="expression" priority="132" stopIfTrue="1">
      <formula>$AM$75=2</formula>
    </cfRule>
  </conditionalFormatting>
  <conditionalFormatting sqref="Y74:AA75 AH75:AJ75 AA118:AA131 AG118:AG131">
    <cfRule type="cellIs" priority="128" stopIfTrue="1" operator="greaterThan">
      <formula>0</formula>
    </cfRule>
  </conditionalFormatting>
  <conditionalFormatting sqref="Y75:AA75 AH75:AJ75">
    <cfRule type="expression" priority="129" stopIfTrue="1">
      <formula>$AM$74=2</formula>
    </cfRule>
    <cfRule type="expression" dxfId="72" priority="130">
      <formula>$AM$75=1</formula>
    </cfRule>
  </conditionalFormatting>
  <conditionalFormatting sqref="Y94:AB94 AH94:AK94 Y95:AA96 AH95:AJ96">
    <cfRule type="cellIs" priority="123" stopIfTrue="1" operator="greaterThan">
      <formula>0</formula>
    </cfRule>
    <cfRule type="expression" priority="122" stopIfTrue="1">
      <formula>$AS$92=2</formula>
    </cfRule>
    <cfRule type="expression" dxfId="71" priority="124">
      <formula>$AQ$92=2</formula>
    </cfRule>
  </conditionalFormatting>
  <conditionalFormatting sqref="Z29">
    <cfRule type="expression" priority="74" stopIfTrue="1">
      <formula>$AM$29=2</formula>
    </cfRule>
    <cfRule type="cellIs" priority="73" stopIfTrue="1" operator="greaterThan">
      <formula>0</formula>
    </cfRule>
    <cfRule type="expression" dxfId="70" priority="75">
      <formula>$AM$27=2</formula>
    </cfRule>
  </conditionalFormatting>
  <conditionalFormatting sqref="Z31">
    <cfRule type="cellIs" priority="1888" stopIfTrue="1" operator="greaterThan">
      <formula>0</formula>
    </cfRule>
    <cfRule type="expression" dxfId="69" priority="1889">
      <formula>$AM$31=2</formula>
    </cfRule>
  </conditionalFormatting>
  <conditionalFormatting sqref="Z17:AB18 Z16:AC16 AG16:AI17">
    <cfRule type="cellIs" priority="176" stopIfTrue="1" operator="greaterThan">
      <formula>0</formula>
    </cfRule>
  </conditionalFormatting>
  <conditionalFormatting sqref="Z18:AB18">
    <cfRule type="expression" priority="175" stopIfTrue="1">
      <formula>$AM$19=2</formula>
    </cfRule>
  </conditionalFormatting>
  <conditionalFormatting sqref="Z19:AB19 AG19:AI19">
    <cfRule type="expression" priority="172" stopIfTrue="1">
      <formula>$AM$18=2</formula>
    </cfRule>
    <cfRule type="cellIs" priority="173" stopIfTrue="1" operator="greaterThan">
      <formula>0</formula>
    </cfRule>
    <cfRule type="expression" dxfId="68" priority="174">
      <formula>$AM$15=2</formula>
    </cfRule>
  </conditionalFormatting>
  <conditionalFormatting sqref="Z16:AC16 AG16:AI17 Z17:AB18">
    <cfRule type="expression" dxfId="67" priority="177">
      <formula>$AM$15=2</formula>
    </cfRule>
  </conditionalFormatting>
  <conditionalFormatting sqref="AA80 AD80 AI80">
    <cfRule type="expression" dxfId="66" priority="1061">
      <formula>$AM$80=2</formula>
    </cfRule>
  </conditionalFormatting>
  <conditionalFormatting sqref="AA81 AI81">
    <cfRule type="expression" dxfId="65" priority="1065">
      <formula>$AM$81=2</formula>
    </cfRule>
  </conditionalFormatting>
  <conditionalFormatting sqref="AA84 AI84">
    <cfRule type="expression" dxfId="64" priority="1069">
      <formula>$AM$84=2</formula>
    </cfRule>
  </conditionalFormatting>
  <conditionalFormatting sqref="AA84:AA85 AI84:AI85">
    <cfRule type="cellIs" priority="1068" stopIfTrue="1" operator="greaterThan">
      <formula>0</formula>
    </cfRule>
  </conditionalFormatting>
  <conditionalFormatting sqref="AA85 AI85">
    <cfRule type="expression" dxfId="63" priority="1073">
      <formula>$AM$85=2</formula>
    </cfRule>
  </conditionalFormatting>
  <conditionalFormatting sqref="AA87 AI87">
    <cfRule type="expression" dxfId="62" priority="1077">
      <formula>$AM$87=2</formula>
    </cfRule>
  </conditionalFormatting>
  <conditionalFormatting sqref="AA87:AA88 AI87:AI88">
    <cfRule type="cellIs" priority="1076" stopIfTrue="1" operator="greaterThan">
      <formula>0</formula>
    </cfRule>
  </conditionalFormatting>
  <conditionalFormatting sqref="AA88 AI88">
    <cfRule type="expression" dxfId="61" priority="1081">
      <formula>$AM$88=2</formula>
    </cfRule>
  </conditionalFormatting>
  <conditionalFormatting sqref="AA92 AE92">
    <cfRule type="cellIs" priority="126" stopIfTrue="1" operator="greaterThan">
      <formula>0</formula>
    </cfRule>
    <cfRule type="expression" dxfId="60" priority="127">
      <formula>$AP$92=1</formula>
    </cfRule>
  </conditionalFormatting>
  <conditionalFormatting sqref="AA118">
    <cfRule type="expression" priority="218" stopIfTrue="1">
      <formula>$AM$118=1</formula>
    </cfRule>
  </conditionalFormatting>
  <conditionalFormatting sqref="AA119 AG119">
    <cfRule type="expression" dxfId="59" priority="1099">
      <formula>$AP$119=2</formula>
    </cfRule>
  </conditionalFormatting>
  <conditionalFormatting sqref="AA120 AG120">
    <cfRule type="expression" dxfId="58" priority="1103">
      <formula>$AP$120=2</formula>
    </cfRule>
  </conditionalFormatting>
  <conditionalFormatting sqref="AA121 AG121">
    <cfRule type="expression" dxfId="57" priority="1107">
      <formula>$AP$121=2</formula>
    </cfRule>
  </conditionalFormatting>
  <conditionalFormatting sqref="AA122 AG122">
    <cfRule type="expression" dxfId="56" priority="1111">
      <formula>$AP$122=2</formula>
    </cfRule>
  </conditionalFormatting>
  <conditionalFormatting sqref="AA123 AG123">
    <cfRule type="expression" dxfId="55" priority="1115">
      <formula>$AP$123=2</formula>
    </cfRule>
  </conditionalFormatting>
  <conditionalFormatting sqref="AA124 AG124">
    <cfRule type="expression" dxfId="54" priority="1119">
      <formula>$AP$124=2</formula>
    </cfRule>
  </conditionalFormatting>
  <conditionalFormatting sqref="AA125">
    <cfRule type="expression" dxfId="53" priority="1135">
      <formula>$AP$125=2</formula>
    </cfRule>
  </conditionalFormatting>
  <conditionalFormatting sqref="AA126">
    <cfRule type="expression" dxfId="52" priority="1139">
      <formula>$AP$126=2</formula>
    </cfRule>
  </conditionalFormatting>
  <conditionalFormatting sqref="AA127">
    <cfRule type="expression" dxfId="51" priority="1143">
      <formula>$AP$127=2</formula>
    </cfRule>
  </conditionalFormatting>
  <conditionalFormatting sqref="AA128 AG128">
    <cfRule type="expression" dxfId="50" priority="1147">
      <formula>$AP$128=2</formula>
    </cfRule>
  </conditionalFormatting>
  <conditionalFormatting sqref="AA129 AG129">
    <cfRule type="expression" dxfId="49" priority="1151">
      <formula>$AP$129=2</formula>
    </cfRule>
  </conditionalFormatting>
  <conditionalFormatting sqref="AA130 AG130">
    <cfRule type="expression" dxfId="48" priority="1155">
      <formula>$AP$130=2</formula>
    </cfRule>
  </conditionalFormatting>
  <conditionalFormatting sqref="AA131 AG131">
    <cfRule type="expression" dxfId="47" priority="1159">
      <formula>$AP$131=2</formula>
    </cfRule>
  </conditionalFormatting>
  <conditionalFormatting sqref="AA86:AC86 AI86:AK86">
    <cfRule type="cellIs" priority="1092" stopIfTrue="1" operator="greaterThan">
      <formula>0</formula>
    </cfRule>
    <cfRule type="expression" dxfId="46" priority="1093">
      <formula>$AM$86=2</formula>
    </cfRule>
  </conditionalFormatting>
  <conditionalFormatting sqref="AA103:AI103 X104:Y104 AE104:AF104 X106:Y106">
    <cfRule type="expression" dxfId="45" priority="5">
      <formula>ISBLANK(X103)</formula>
    </cfRule>
  </conditionalFormatting>
  <conditionalFormatting sqref="AB83 Y83">
    <cfRule type="expression" dxfId="44" priority="1058">
      <formula>$AM$83=1</formula>
    </cfRule>
  </conditionalFormatting>
  <conditionalFormatting sqref="AB83">
    <cfRule type="expression" dxfId="43" priority="2">
      <formula>$AN$83=2</formula>
    </cfRule>
  </conditionalFormatting>
  <conditionalFormatting sqref="AB38:AD42 AG38:AI42 AB44:AB47 AG44:AG47 AE48:AG48">
    <cfRule type="cellIs" priority="147" stopIfTrue="1" operator="greaterThan">
      <formula>0</formula>
    </cfRule>
    <cfRule type="expression" dxfId="42" priority="148">
      <formula>$AM$27=2</formula>
    </cfRule>
  </conditionalFormatting>
  <conditionalFormatting sqref="AC21">
    <cfRule type="expression" dxfId="41" priority="1892">
      <formula>$AM$15=2</formula>
    </cfRule>
    <cfRule type="cellIs" priority="1891" stopIfTrue="1" operator="greaterThan">
      <formula>0</formula>
    </cfRule>
    <cfRule type="expression" priority="1890" stopIfTrue="1">
      <formula>$AN$21=2</formula>
    </cfRule>
  </conditionalFormatting>
  <conditionalFormatting sqref="AC24">
    <cfRule type="expression" priority="1992" stopIfTrue="1">
      <formula>$AM$69=2</formula>
    </cfRule>
    <cfRule type="expression" dxfId="40" priority="1993">
      <formula>$AM$15=2</formula>
    </cfRule>
    <cfRule type="cellIs" priority="1991" stopIfTrue="1" operator="greaterThan">
      <formula>0</formula>
    </cfRule>
  </conditionalFormatting>
  <conditionalFormatting sqref="AC65 AC68">
    <cfRule type="expression" priority="1748" stopIfTrue="1">
      <formula>$AM$69=2</formula>
    </cfRule>
    <cfRule type="expression" dxfId="39" priority="1749">
      <formula>$AM$27=2</formula>
    </cfRule>
    <cfRule type="cellIs" priority="1747" stopIfTrue="1" operator="greaterThan">
      <formula>0</formula>
    </cfRule>
  </conditionalFormatting>
  <conditionalFormatting sqref="AC223">
    <cfRule type="expression" dxfId="38" priority="71">
      <formula>ISBLANK(AC223)</formula>
    </cfRule>
  </conditionalFormatting>
  <conditionalFormatting sqref="AD27">
    <cfRule type="cellIs" priority="163" stopIfTrue="1" operator="greaterThan">
      <formula>0</formula>
    </cfRule>
    <cfRule type="expression" priority="164" stopIfTrue="1">
      <formula>$AM$29=2</formula>
    </cfRule>
    <cfRule type="expression" dxfId="37" priority="165">
      <formula>$AM$27=2</formula>
    </cfRule>
  </conditionalFormatting>
  <conditionalFormatting sqref="AD80 AA80:AA81 AI80:AI81">
    <cfRule type="cellIs" priority="1060" stopIfTrue="1" operator="greaterThan">
      <formula>0</formula>
    </cfRule>
  </conditionalFormatting>
  <conditionalFormatting sqref="AD99:AD100">
    <cfRule type="expression" dxfId="36" priority="305">
      <formula>ISBLANK(AD99)</formula>
    </cfRule>
  </conditionalFormatting>
  <conditionalFormatting sqref="AD113">
    <cfRule type="cellIs" dxfId="35" priority="365" operator="lessThan">
      <formula>$J113</formula>
    </cfRule>
    <cfRule type="expression" dxfId="34" priority="364">
      <formula>ISBLANK(AD113)</formula>
    </cfRule>
  </conditionalFormatting>
  <conditionalFormatting sqref="AD135:AD140">
    <cfRule type="cellIs" dxfId="33" priority="1996" operator="greaterThan">
      <formula>$AQ$133</formula>
    </cfRule>
  </conditionalFormatting>
  <conditionalFormatting sqref="AD142:AD147 Q142:Q147 U142:U147">
    <cfRule type="expression" dxfId="32" priority="50" stopIfTrue="1">
      <formula>ISBLANK(Q142)</formula>
    </cfRule>
  </conditionalFormatting>
  <conditionalFormatting sqref="AD99:AG99">
    <cfRule type="expression" dxfId="31" priority="15">
      <formula>$AS$99=3</formula>
    </cfRule>
  </conditionalFormatting>
  <conditionalFormatting sqref="AD100:AG100">
    <cfRule type="expression" dxfId="30" priority="14">
      <formula>$AS$100=3</formula>
    </cfRule>
  </conditionalFormatting>
  <conditionalFormatting sqref="AE49">
    <cfRule type="cellIs" dxfId="29" priority="144" operator="equal">
      <formula>0</formula>
    </cfRule>
    <cfRule type="expression" priority="143" stopIfTrue="1">
      <formula>$AM$27=1</formula>
    </cfRule>
  </conditionalFormatting>
  <conditionalFormatting sqref="AE172:AI172">
    <cfRule type="expression" dxfId="28" priority="223">
      <formula>ISBLANK(AE172)</formula>
    </cfRule>
  </conditionalFormatting>
  <conditionalFormatting sqref="AE6:AK6">
    <cfRule type="cellIs" dxfId="27" priority="1" operator="equal">
      <formula>0</formula>
    </cfRule>
  </conditionalFormatting>
  <conditionalFormatting sqref="AF7">
    <cfRule type="expression" dxfId="26" priority="114">
      <formula>ISBLANK(AF7)</formula>
    </cfRule>
  </conditionalFormatting>
  <conditionalFormatting sqref="AG118 AA118">
    <cfRule type="expression" dxfId="25" priority="1095">
      <formula>$AP$118=2</formula>
    </cfRule>
  </conditionalFormatting>
  <conditionalFormatting sqref="AG118">
    <cfRule type="expression" priority="264" stopIfTrue="1">
      <formula>$AN$118=1</formula>
    </cfRule>
  </conditionalFormatting>
  <conditionalFormatting sqref="AG125">
    <cfRule type="expression" dxfId="24" priority="1123">
      <formula>$AP$125=2</formula>
    </cfRule>
  </conditionalFormatting>
  <conditionalFormatting sqref="AG126">
    <cfRule type="expression" dxfId="23" priority="1127">
      <formula>$AP$126=2</formula>
    </cfRule>
  </conditionalFormatting>
  <conditionalFormatting sqref="AG127">
    <cfRule type="expression" dxfId="22" priority="1131">
      <formula>$AP$127=2</formula>
    </cfRule>
  </conditionalFormatting>
  <conditionalFormatting sqref="AG15:AJ15">
    <cfRule type="expression" dxfId="21" priority="179">
      <formula>$AM$15=2</formula>
    </cfRule>
    <cfRule type="cellIs" priority="178" stopIfTrue="1" operator="greaterThan">
      <formula>0</formula>
    </cfRule>
  </conditionalFormatting>
  <conditionalFormatting sqref="AG29:AK29">
    <cfRule type="cellIs" priority="161" stopIfTrue="1" operator="greaterThan">
      <formula>0</formula>
    </cfRule>
    <cfRule type="expression" dxfId="20" priority="162">
      <formula>$AM$27=2</formula>
    </cfRule>
  </conditionalFormatting>
  <conditionalFormatting sqref="AG33:AK33">
    <cfRule type="expression" dxfId="19" priority="155">
      <formula>$AN$33=2</formula>
    </cfRule>
    <cfRule type="cellIs" priority="154" stopIfTrue="1" operator="greaterThan">
      <formula>0</formula>
    </cfRule>
  </conditionalFormatting>
  <conditionalFormatting sqref="AG35:AK35">
    <cfRule type="expression" dxfId="18" priority="150">
      <formula>$AN$35=2</formula>
    </cfRule>
    <cfRule type="cellIs" priority="149" stopIfTrue="1" operator="greaterThan">
      <formula>0</formula>
    </cfRule>
  </conditionalFormatting>
  <conditionalFormatting sqref="AG57:AK58">
    <cfRule type="cellIs" dxfId="17" priority="200" operator="equal">
      <formula>0</formula>
    </cfRule>
  </conditionalFormatting>
  <conditionalFormatting sqref="AG109:AK110">
    <cfRule type="cellIs" dxfId="16" priority="199" operator="equal">
      <formula>0</formula>
    </cfRule>
  </conditionalFormatting>
  <conditionalFormatting sqref="AG155:AK156">
    <cfRule type="cellIs" dxfId="15" priority="188" operator="equal">
      <formula>0</formula>
    </cfRule>
  </conditionalFormatting>
  <conditionalFormatting sqref="AG208:AK209">
    <cfRule type="cellIs" dxfId="14" priority="119" operator="equal">
      <formula>0</formula>
    </cfRule>
  </conditionalFormatting>
  <conditionalFormatting sqref="AH27 V29 V31">
    <cfRule type="cellIs" priority="80" stopIfTrue="1" operator="greaterThan">
      <formula>0</formula>
    </cfRule>
    <cfRule type="expression" priority="81" stopIfTrue="1">
      <formula>$AM$29=2</formula>
    </cfRule>
    <cfRule type="expression" dxfId="13" priority="82">
      <formula>$AM$27=2</formula>
    </cfRule>
  </conditionalFormatting>
  <conditionalFormatting sqref="AH73">
    <cfRule type="expression" dxfId="12" priority="287">
      <formula>ISBLANK(AH73)</formula>
    </cfRule>
  </conditionalFormatting>
  <conditionalFormatting sqref="AH135:AH140">
    <cfRule type="expression" dxfId="11" priority="45">
      <formula>$AO135=1</formula>
    </cfRule>
    <cfRule type="expression" dxfId="10" priority="44">
      <formula>$AN135=1</formula>
    </cfRule>
    <cfRule type="expression" dxfId="9" priority="17">
      <formula>$AM135=1</formula>
    </cfRule>
  </conditionalFormatting>
  <conditionalFormatting sqref="AH142:AH147">
    <cfRule type="expression" dxfId="8" priority="1999">
      <formula>$AS142=1</formula>
    </cfRule>
    <cfRule type="expression" dxfId="7" priority="2000">
      <formula>$AQ142=1</formula>
    </cfRule>
    <cfRule type="expression" dxfId="6" priority="2001">
      <formula>$AR142=1</formula>
    </cfRule>
    <cfRule type="expression" dxfId="5" priority="16">
      <formula>ISBLANK(AH142)</formula>
    </cfRule>
  </conditionalFormatting>
  <conditionalFormatting sqref="AI21:AI22 Y22:AB22">
    <cfRule type="cellIs" priority="170" stopIfTrue="1" operator="greaterThan">
      <formula>0</formula>
    </cfRule>
    <cfRule type="expression" dxfId="4" priority="171">
      <formula>$AM$15=2</formula>
    </cfRule>
    <cfRule type="expression" priority="169" stopIfTrue="1">
      <formula>$AM$21=2</formula>
    </cfRule>
  </conditionalFormatting>
  <conditionalFormatting sqref="AI24 Z25 AH25 AI65 Z66 AH66">
    <cfRule type="expression" dxfId="3" priority="142">
      <formula>$AM$15=2</formula>
    </cfRule>
    <cfRule type="cellIs" priority="140" stopIfTrue="1" operator="greaterThan">
      <formula>0</formula>
    </cfRule>
    <cfRule type="expression" priority="141" stopIfTrue="1">
      <formula>$AM$65=2</formula>
    </cfRule>
  </conditionalFormatting>
  <conditionalFormatting sqref="AI68:AI69 Z69">
    <cfRule type="expression" dxfId="2" priority="136">
      <formula>$AM$27=2</formula>
    </cfRule>
    <cfRule type="expression" priority="135" stopIfTrue="1">
      <formula>$AM$68=2</formula>
    </cfRule>
    <cfRule type="cellIs" priority="134" stopIfTrue="1" operator="greaterThan">
      <formula>0</formula>
    </cfRule>
  </conditionalFormatting>
  <conditionalFormatting sqref="AI106 AF106">
    <cfRule type="expression" dxfId="1" priority="4">
      <formula>$AN$106=1</formula>
    </cfRule>
  </conditionalFormatting>
  <conditionalFormatting sqref="AI106">
    <cfRule type="expression" dxfId="0" priority="3">
      <formula>$AO$106=2</formula>
    </cfRule>
  </conditionalFormatting>
  <dataValidations count="2">
    <dataValidation type="list" allowBlank="1" showInputMessage="1" showErrorMessage="1" sqref="AH94:AK94 AG16:AI16 AH73:AK73 W80:Y81 W84:Y88" xr:uid="{724CB3B4-1DEF-4419-A255-33C7CE50E61F}">
      <formula1>Shape</formula1>
    </dataValidation>
    <dataValidation type="list" allowBlank="1" showInputMessage="1" showErrorMessage="1" sqref="Z16:AC16 Z25:AC25 Z66:AC66 Z69:AC69 Y73:AB73 Y94:AB94 Y22:AB22" xr:uid="{F21227C0-CA23-4C9C-97B1-1AF25B7CE2F3}">
      <formula1>Material</formula1>
    </dataValidation>
  </dataValidations>
  <pageMargins left="0.2" right="0.2" top="0.5" bottom="0.25" header="0.3" footer="0.3"/>
  <pageSetup orientation="portrait" r:id="rId1"/>
  <rowBreaks count="4" manualBreakCount="4">
    <brk id="56" max="16383" man="1"/>
    <brk id="108" max="16383" man="1"/>
    <brk id="154" max="16383" man="1"/>
    <brk id="207" max="16383" man="1"/>
  </rowBreaks>
  <colBreaks count="1" manualBreakCount="1">
    <brk id="46"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E73</xm:sqref>
        </x14:dataValidation>
        <x14:dataValidation type="list" allowBlank="1" showInputMessage="1" showErrorMessage="1" xr:uid="{15328467-34E1-4429-BBED-E9EF3D4805F6}">
          <x14:formula1>
            <xm:f>Tables!$F$2:$F$7</xm:f>
          </x14:formula1>
          <xm:sqref>H89 H64 H57:H58 W57:Y58 W89:Y89 W64:Y64 W82:Y82</xm:sqref>
        </x14:dataValidation>
        <x14:dataValidation type="list" allowBlank="1" showInputMessage="1" showErrorMessage="1" xr:uid="{C1260947-8967-4DEC-A2DF-EC3F14B0DA84}">
          <x14:formula1>
            <xm:f>Tables!$H$9:$H$14</xm:f>
          </x14:formula1>
          <xm:sqref>AA103:AI103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42E427F6-1C52-4E22-80A3-CECE43628099}">
          <x14:formula1>
            <xm:f>Tables!$B$8</xm:f>
          </x14:formula1>
          <xm:sqref>AF7:AK7 U15 AG15:AJ15 Z17:AB19 AG17:AI17 AG19:AI19 AC21 AI21:AJ22 AC24 AI24:AJ24 AH25:AJ25 AD27 AH27 V29 Z29 AG29:AK29 V31 Z31:AK31 Y33 Y35 AB35 AB33 AG33:AK33 AG35:AK35 AB38:AD42 AG38:AI42 AB44:AD47 AG44:AI47 AE48:AG49 V61:X63 Z61:AA63 AD61:AF63 AI61:AJ63 AC65 AI65:AJ65 AH66:AJ66 AC68 AI68:AJ69 Y74:AA76 AH75:AJ76 Y78 AB78 AA80:AC81 AE80:AG81 AI80:AK81 Y83 AB83 AA84:AC88 AE84:AG88 AI84:AK88 AA92 AE92 Y95:AA96 AH95:AJ96 AD99:AG100 X104:Y104 X106:Y106 AE104:AF104 AF106 AI106 V118:X131 AA118:AD131 AG118:AJ131 I142:K147 M142:O147 Q142:S147 U142:W147 Y142:AB147 AD142:AF147 AH142:AK147 B158:AK165 F168:V172 Z170:AC170 AH170:AK170 AE172:AI172 Y174 F175:V179 Z177:AC177 AH177:AK177 AE178:AK178 AE179:AI179 C184 E184 C186 E186 C188 E188 E190 C190 C192 E192 E194 C194 C196 E196 E198 C198 C200 E200 E202 C202 C204 E204 Y186:Z186 Y188:Z188 Y190:Z190 Y192:Z192 Y194:Z194 Y196:Z196 Y198:Z198 Y200:Z200 Y202:Z202 Y204:Z204 AC204:AI204 AC202:AI202 AC200:AI200 AC198:AI198 AC196:AI196 AC194:AI194 AC192:AI192 AC190:AI190 AC188:AI188 AC186:AI186 E216:Y218 E219:K219 O219:R219 W219:Y219 E220:Y220 E221:I221 AC223:AG223 G10 N10 Z10 AH10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Form 2C.1 - Design</vt:lpstr>
      <vt:lpstr>Form 2C.2 - Design Attachment</vt:lpstr>
      <vt:lpstr>Form 3C - As-built</vt:lpstr>
      <vt:lpstr>Material</vt:lpstr>
      <vt:lpstr>'Form 2C.1 - Design'!Print_Area</vt:lpstr>
      <vt:lpstr>'Form 2C.2 - Design Attachment'!Print_Area</vt:lpstr>
      <vt:lpstr>'Form 3C - As-built'!Print_Area</vt:lpstr>
      <vt:lpstr>'Form 2C.1 - Design'!Print_Titles</vt:lpstr>
      <vt:lpstr>'Form 2C.2 - Design Attachment'!Print_Titles</vt:lpstr>
      <vt:lpstr>'Form 3C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2025-10-10T14:24:32Z</cp:lastPrinted>
  <dcterms:created xsi:type="dcterms:W3CDTF">2021-11-21T16:55:43Z</dcterms:created>
  <dcterms:modified xsi:type="dcterms:W3CDTF">2025-10-19T14:54:44Z</dcterms:modified>
</cp:coreProperties>
</file>