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HYDRO\PROJECTS\Baldwin County\01 - Post Const Forms\2025-10-01 Published\"/>
    </mc:Choice>
  </mc:AlternateContent>
  <xr:revisionPtr revIDLastSave="0" documentId="13_ncr:1_{6078D7E9-7CA3-45A8-9CE8-53A4929AC791}" xr6:coauthVersionLast="47" xr6:coauthVersionMax="47" xr10:uidLastSave="{00000000-0000-0000-0000-000000000000}"/>
  <workbookProtection workbookAlgorithmName="SHA-512" workbookHashValue="q4tGuz6igSjbKSFWHCBEE/S5CEUXqHSTwkXq7rhU8pg0o8Rnt1XwwaM3EIemu+pajCOb4UMz900/BgbsUTBkpQ==" workbookSaltValue="JIYVJwRFD9saYKKhpVf8lA==" workbookSpinCount="100000" lockStructure="1"/>
  <bookViews>
    <workbookView xWindow="-15060" yWindow="-16320" windowWidth="29040" windowHeight="15840" tabRatio="703" firstSheet="1" activeTab="1" xr2:uid="{994EC860-6224-46C4-B304-9868EEFCD4CE}"/>
  </bookViews>
  <sheets>
    <sheet name="Tables" sheetId="2" state="veryHidden" r:id="rId1"/>
    <sheet name="License" sheetId="7" r:id="rId2"/>
    <sheet name="General Instructions" sheetId="9" r:id="rId3"/>
    <sheet name="From 2A.1 - Design" sheetId="5" r:id="rId4"/>
    <sheet name="Form 2A.2 - Design Attachment" sheetId="8" r:id="rId5"/>
    <sheet name="Form 3A - As-built" sheetId="3" r:id="rId6"/>
  </sheets>
  <definedNames>
    <definedName name="_Hlk68675965" localSheetId="5">'Form 3A - As-built'!#REF!</definedName>
    <definedName name="Logo">INDEX(Tables!$F$40:$F$45,MATCH(Tables!$F$14,Tables!$E$40:$E$45,0))</definedName>
    <definedName name="Material">Tables!$D$2:$D$10</definedName>
    <definedName name="_xlnm.Print_Area" localSheetId="4">'Form 2A.2 - Design Attachment'!$A$1:$AK$110</definedName>
    <definedName name="_xlnm.Print_Area" localSheetId="5">'Form 3A - As-built'!$A$1:$AL$193</definedName>
    <definedName name="_xlnm.Print_Area" localSheetId="3">'From 2A.1 - Design'!$A$1:$AK$197</definedName>
    <definedName name="_xlnm.Print_Titles" localSheetId="4">'Form 2A.2 - Design Attachment'!$1:$4</definedName>
    <definedName name="_xlnm.Print_Titles" localSheetId="5">'Form 3A - As-built'!$1:$4</definedName>
    <definedName name="_xlnm.Print_Titles" localSheetId="3">'From 2A.1 - Design'!$1:$4</definedName>
    <definedName name="Shape">Tables!$F$2:$F$11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26" i="5" l="1"/>
  <c r="AE6" i="3"/>
  <c r="AL89" i="5"/>
  <c r="AM150" i="5" l="1"/>
  <c r="I151" i="5" s="1"/>
  <c r="AN25" i="3" l="1"/>
  <c r="AL140" i="5" l="1"/>
  <c r="AM136" i="5"/>
  <c r="AM138" i="5"/>
  <c r="AL138" i="5"/>
  <c r="AL136" i="5"/>
  <c r="AO52" i="8"/>
  <c r="AO50" i="8"/>
  <c r="AO48" i="8"/>
  <c r="AO46" i="8"/>
  <c r="AO44" i="8"/>
  <c r="AO42" i="8"/>
  <c r="AO40" i="8"/>
  <c r="AO38" i="8"/>
  <c r="AO36" i="8"/>
  <c r="AO34" i="8"/>
  <c r="AO32" i="8"/>
  <c r="AO30" i="8"/>
  <c r="AO28" i="8"/>
  <c r="AO26" i="8"/>
  <c r="AO24" i="8"/>
  <c r="AN24" i="8"/>
  <c r="AM52" i="8"/>
  <c r="AM50" i="8"/>
  <c r="AM48" i="8"/>
  <c r="AM46" i="8"/>
  <c r="AM44" i="8"/>
  <c r="AM42" i="8"/>
  <c r="AM40" i="8"/>
  <c r="AM38" i="8"/>
  <c r="AM36" i="8"/>
  <c r="AM34" i="8"/>
  <c r="AM32" i="8"/>
  <c r="AM30" i="8"/>
  <c r="AM28" i="8"/>
  <c r="AM26" i="8"/>
  <c r="AM24" i="8"/>
  <c r="AM25" i="8"/>
  <c r="AM27" i="8"/>
  <c r="AM29" i="8"/>
  <c r="AM31" i="8"/>
  <c r="AM33" i="8"/>
  <c r="AM35" i="8"/>
  <c r="AM37" i="8"/>
  <c r="AM39" i="8"/>
  <c r="AM41" i="8"/>
  <c r="AM43" i="8"/>
  <c r="AM45" i="8"/>
  <c r="AM47" i="8"/>
  <c r="AM49" i="8"/>
  <c r="AM51" i="8"/>
  <c r="AM53" i="8"/>
  <c r="B6" i="9" l="1"/>
  <c r="B34" i="9" s="1"/>
  <c r="B35" i="9" s="1"/>
  <c r="F39" i="2"/>
  <c r="F32" i="7" l="1"/>
  <c r="F7" i="7"/>
  <c r="F13" i="7"/>
  <c r="F29" i="7"/>
  <c r="AM61" i="3"/>
  <c r="F38" i="2"/>
  <c r="B2" i="2"/>
  <c r="B6" i="2" s="1"/>
  <c r="O2" i="7" s="1"/>
  <c r="A2" i="7"/>
  <c r="B7" i="2"/>
  <c r="O1" i="7"/>
  <c r="E28" i="2"/>
  <c r="M22" i="2"/>
  <c r="M19" i="2"/>
  <c r="F37" i="2"/>
  <c r="AC10" i="5" s="1"/>
  <c r="F33" i="2"/>
  <c r="AP126" i="5" s="1"/>
  <c r="F32" i="2"/>
  <c r="F30" i="2"/>
  <c r="F29" i="2"/>
  <c r="F28" i="2"/>
  <c r="F27" i="2"/>
  <c r="F26" i="2"/>
  <c r="F25" i="2"/>
  <c r="F24" i="2"/>
  <c r="F23" i="2"/>
  <c r="F22" i="7" s="1"/>
  <c r="F22" i="2"/>
  <c r="F21" i="2"/>
  <c r="F20" i="2"/>
  <c r="F19" i="2"/>
  <c r="F18" i="2"/>
  <c r="F17" i="2"/>
  <c r="F16" i="2"/>
  <c r="F15" i="2"/>
  <c r="AN69" i="5"/>
  <c r="AN67" i="5"/>
  <c r="AM176" i="3"/>
  <c r="J21" i="2" l="1"/>
  <c r="M175" i="3" s="1"/>
  <c r="AM175" i="3" s="1"/>
  <c r="AW36" i="5"/>
  <c r="AX21" i="5"/>
  <c r="AX20" i="5"/>
  <c r="I142" i="5"/>
  <c r="U140" i="5"/>
  <c r="U138" i="5"/>
  <c r="O136" i="5"/>
  <c r="B8" i="2"/>
  <c r="P49" i="3"/>
  <c r="M49" i="3"/>
  <c r="E49" i="3"/>
  <c r="L47" i="3"/>
  <c r="E47" i="3"/>
  <c r="H46" i="3"/>
  <c r="AN49" i="3"/>
  <c r="AO49" i="3"/>
  <c r="AM49" i="3"/>
  <c r="AN47" i="3"/>
  <c r="AM47" i="3"/>
  <c r="AM46" i="3"/>
  <c r="F3" i="7" l="1"/>
  <c r="A3" i="7" s="1"/>
  <c r="AE10" i="8"/>
  <c r="AE7" i="8"/>
  <c r="AM10" i="8"/>
  <c r="AN10" i="8"/>
  <c r="AO10" i="8"/>
  <c r="AP10" i="8"/>
  <c r="T10" i="8"/>
  <c r="T9" i="8"/>
  <c r="E8" i="8"/>
  <c r="E7" i="8"/>
  <c r="AQ10" i="8" l="1"/>
  <c r="M185" i="5" l="1"/>
  <c r="AL185" i="5" s="1"/>
  <c r="AO81" i="5"/>
  <c r="AO80" i="5"/>
  <c r="AO85" i="5"/>
  <c r="AO87" i="5"/>
  <c r="AL87" i="5"/>
  <c r="AM87" i="5"/>
  <c r="AN87" i="5"/>
  <c r="AL85" i="5"/>
  <c r="AL110" i="5"/>
  <c r="AP85" i="5"/>
  <c r="AP87" i="5"/>
  <c r="AL132" i="5"/>
  <c r="AM130" i="5"/>
  <c r="AM134" i="5"/>
  <c r="AL134" i="5"/>
  <c r="AM132" i="5"/>
  <c r="AL130" i="5"/>
  <c r="AM128" i="5"/>
  <c r="AL128" i="5"/>
  <c r="AM85" i="5" l="1"/>
  <c r="M179" i="5" s="1"/>
  <c r="AL179" i="5" s="1"/>
  <c r="R22" i="2"/>
  <c r="Q22" i="2"/>
  <c r="F34" i="2" s="1"/>
  <c r="AS126" i="5" s="1"/>
  <c r="P22" i="2"/>
  <c r="O22" i="2"/>
  <c r="N22" i="2"/>
  <c r="P19" i="2"/>
  <c r="Q19" i="2"/>
  <c r="F31" i="2" s="1"/>
  <c r="R19" i="2"/>
  <c r="O19" i="2"/>
  <c r="N19" i="2"/>
  <c r="AS124" i="5" l="1"/>
  <c r="AN142" i="5"/>
  <c r="AR83" i="3" s="1"/>
  <c r="AP142" i="5"/>
  <c r="AO142" i="5"/>
  <c r="AM142" i="5"/>
  <c r="AL142" i="5"/>
  <c r="AQ142" i="5" l="1"/>
  <c r="AM13" i="5" l="1"/>
  <c r="AM144" i="5"/>
  <c r="AL144" i="5"/>
  <c r="M176" i="5"/>
  <c r="AL176" i="5" s="1"/>
  <c r="AT89" i="3"/>
  <c r="AT90" i="3"/>
  <c r="AT91" i="3"/>
  <c r="AT92" i="3"/>
  <c r="AT93" i="3"/>
  <c r="AT88" i="3"/>
  <c r="AP88" i="3"/>
  <c r="AT87" i="3" l="1"/>
  <c r="Y80" i="3" l="1"/>
  <c r="Y85" i="3"/>
  <c r="Y84" i="3"/>
  <c r="Y83" i="3"/>
  <c r="Y82" i="3"/>
  <c r="Y81" i="3"/>
  <c r="AR43" i="3"/>
  <c r="AR42" i="3"/>
  <c r="M173" i="3" l="1"/>
  <c r="AM173" i="3" s="1"/>
  <c r="J18" i="2"/>
  <c r="M180" i="3" s="1"/>
  <c r="AM180" i="3" s="1"/>
  <c r="J6" i="2"/>
  <c r="AQ84" i="5"/>
  <c r="AO84" i="5"/>
  <c r="M183" i="5" l="1"/>
  <c r="AL183" i="5" s="1"/>
  <c r="AM12" i="5" l="1"/>
  <c r="AL12" i="5"/>
  <c r="AL40" i="5"/>
  <c r="AM14" i="5" l="1"/>
  <c r="K2" i="2"/>
  <c r="K3" i="2" s="1"/>
  <c r="K4" i="2" s="1"/>
  <c r="K5" i="2" s="1"/>
  <c r="K6" i="2" s="1"/>
  <c r="K7" i="2" s="1"/>
  <c r="K8" i="2" s="1"/>
  <c r="K9" i="2" s="1"/>
  <c r="K10" i="2" s="1"/>
  <c r="K11" i="2" s="1"/>
  <c r="K12" i="2" s="1"/>
  <c r="K13" i="2" s="1"/>
  <c r="K14" i="2" s="1"/>
  <c r="K15" i="2" s="1"/>
  <c r="K16" i="2" s="1"/>
  <c r="K17" i="2" s="1"/>
  <c r="K18" i="2" s="1"/>
  <c r="K19" i="2" s="1"/>
  <c r="K20" i="2" s="1"/>
  <c r="K21" i="2" s="1"/>
  <c r="K22" i="2" s="1"/>
  <c r="K23" i="2" s="1"/>
  <c r="I24" i="5" l="1"/>
  <c r="I37" i="5"/>
  <c r="N17" i="5"/>
  <c r="AP12" i="5"/>
  <c r="AA15" i="5"/>
  <c r="N14" i="5"/>
  <c r="N19" i="5"/>
  <c r="AE12" i="5"/>
  <c r="N15" i="5"/>
  <c r="AE13" i="5"/>
  <c r="N16" i="5"/>
  <c r="N18" i="5"/>
  <c r="AO126" i="5"/>
  <c r="AP124" i="5"/>
  <c r="AN121" i="5"/>
  <c r="AN120" i="5"/>
  <c r="AN119" i="5"/>
  <c r="AN118" i="5"/>
  <c r="AN117" i="5"/>
  <c r="AN116" i="5"/>
  <c r="AS121" i="5" l="1"/>
  <c r="AR121" i="5"/>
  <c r="F35" i="2"/>
  <c r="AQ82" i="3"/>
  <c r="AX24" i="5" l="1"/>
  <c r="F36" i="2"/>
  <c r="Y54" i="8"/>
  <c r="AJ122" i="5" l="1"/>
  <c r="J14" i="2"/>
  <c r="AX23" i="5"/>
  <c r="J16" i="2"/>
  <c r="AQ126" i="5"/>
  <c r="AQ124" i="5"/>
  <c r="I27" i="3"/>
  <c r="AP129" i="3"/>
  <c r="AP143" i="3"/>
  <c r="AP141" i="3"/>
  <c r="AP139" i="3"/>
  <c r="AP137" i="3"/>
  <c r="AP135" i="3"/>
  <c r="AP133" i="3"/>
  <c r="AP131" i="3"/>
  <c r="AP127" i="3" l="1"/>
  <c r="AF167" i="3"/>
  <c r="AN107" i="5" l="1"/>
  <c r="AN108" i="5"/>
  <c r="AN109" i="5"/>
  <c r="AN110" i="5"/>
  <c r="AN111" i="5"/>
  <c r="AN106" i="5"/>
  <c r="AH80" i="3"/>
  <c r="AM126" i="5" l="1"/>
  <c r="AL126" i="5"/>
  <c r="AL27" i="5"/>
  <c r="AH83" i="3"/>
  <c r="I82" i="3"/>
  <c r="AN112" i="5"/>
  <c r="AO124" i="5"/>
  <c r="AQ81" i="3" l="1"/>
  <c r="AN126" i="5"/>
  <c r="AP82" i="3"/>
  <c r="I81" i="3"/>
  <c r="AP108" i="5" l="1"/>
  <c r="AP109" i="5"/>
  <c r="AP110" i="5"/>
  <c r="AP107" i="5"/>
  <c r="AP106" i="5"/>
  <c r="AP111" i="5"/>
  <c r="AR82" i="3"/>
  <c r="AO93" i="3"/>
  <c r="AO92" i="3"/>
  <c r="AR91" i="3" l="1"/>
  <c r="AR90" i="3"/>
  <c r="AR92" i="3"/>
  <c r="AR93" i="3"/>
  <c r="AR89" i="3"/>
  <c r="AR88" i="3"/>
  <c r="AO80" i="3"/>
  <c r="AO83" i="3"/>
  <c r="M171" i="3"/>
  <c r="AL111" i="5"/>
  <c r="AR87" i="3" l="1"/>
  <c r="M184" i="3" s="1"/>
  <c r="AM184" i="3" s="1"/>
  <c r="AP105" i="5"/>
  <c r="M193" i="5" s="1"/>
  <c r="M181" i="5"/>
  <c r="AQ111" i="5"/>
  <c r="AQ110" i="5"/>
  <c r="AQ108" i="5"/>
  <c r="AQ107" i="5"/>
  <c r="AQ106" i="5"/>
  <c r="AQ109" i="5"/>
  <c r="AM21" i="5"/>
  <c r="AL150" i="5"/>
  <c r="AM148" i="5"/>
  <c r="AH84" i="3"/>
  <c r="AO84" i="3" s="1"/>
  <c r="AL21" i="5" l="1"/>
  <c r="R54" i="8" l="1"/>
  <c r="AN14" i="8" l="1"/>
  <c r="AM14" i="8"/>
  <c r="AO12" i="8"/>
  <c r="AN12" i="8"/>
  <c r="AP12" i="8"/>
  <c r="AM12" i="8"/>
  <c r="AP52" i="8"/>
  <c r="AN52" i="8"/>
  <c r="AP50" i="8"/>
  <c r="AN50" i="8"/>
  <c r="AP48" i="8"/>
  <c r="AN48" i="8"/>
  <c r="AP46" i="8"/>
  <c r="AN46" i="8"/>
  <c r="AP44" i="8"/>
  <c r="AN44" i="8"/>
  <c r="AP42" i="8"/>
  <c r="AN42" i="8"/>
  <c r="AP40" i="8"/>
  <c r="AN40" i="8"/>
  <c r="AP38" i="8"/>
  <c r="AN38" i="8"/>
  <c r="AP36" i="8"/>
  <c r="AN36" i="8"/>
  <c r="AP34" i="8"/>
  <c r="AN34" i="8"/>
  <c r="AP32" i="8"/>
  <c r="AN32" i="8"/>
  <c r="AP30" i="8"/>
  <c r="AN30" i="8"/>
  <c r="AP28" i="8"/>
  <c r="AN28" i="8"/>
  <c r="AP26" i="8"/>
  <c r="AN26" i="8"/>
  <c r="AO14" i="8" l="1"/>
  <c r="AP24" i="8"/>
  <c r="K22" i="8" l="1"/>
  <c r="F23" i="8"/>
  <c r="AO98" i="5"/>
  <c r="B110" i="8"/>
  <c r="B63" i="8"/>
  <c r="AL148" i="5"/>
  <c r="AM146" i="5"/>
  <c r="AM124" i="5"/>
  <c r="AP81" i="3" s="1"/>
  <c r="AL146" i="5"/>
  <c r="AL124" i="5"/>
  <c r="AN124" i="5" l="1"/>
  <c r="AN148" i="5"/>
  <c r="AE64" i="8"/>
  <c r="D64" i="8"/>
  <c r="K54" i="8"/>
  <c r="AP20" i="8"/>
  <c r="AO20" i="8"/>
  <c r="AN20" i="8"/>
  <c r="AM20" i="8"/>
  <c r="AP18" i="8"/>
  <c r="AO18" i="8"/>
  <c r="AN18" i="8"/>
  <c r="AM18" i="8"/>
  <c r="AP16" i="8"/>
  <c r="AO16" i="8"/>
  <c r="AN16" i="8"/>
  <c r="AM16" i="8"/>
  <c r="BD1" i="8"/>
  <c r="AM67" i="8" l="1"/>
  <c r="Y55" i="8"/>
  <c r="R55" i="8"/>
  <c r="AO110" i="5"/>
  <c r="AO111" i="5"/>
  <c r="AO109" i="5"/>
  <c r="AO106" i="5"/>
  <c r="AO108" i="5"/>
  <c r="AO107" i="5"/>
  <c r="AR81" i="3"/>
  <c r="AQ90" i="3" l="1"/>
  <c r="AQ92" i="3"/>
  <c r="AQ89" i="3"/>
  <c r="AQ88" i="3"/>
  <c r="AQ91" i="3"/>
  <c r="AQ93" i="3"/>
  <c r="AN83" i="3"/>
  <c r="AN80" i="3"/>
  <c r="AN84" i="3"/>
  <c r="AB54" i="8"/>
  <c r="AB52" i="8"/>
  <c r="AB28" i="8"/>
  <c r="AB50" i="8"/>
  <c r="AB26" i="8"/>
  <c r="AB36" i="8"/>
  <c r="AB48" i="8"/>
  <c r="AB24" i="8"/>
  <c r="AB46" i="8"/>
  <c r="AB40" i="8"/>
  <c r="AB34" i="8"/>
  <c r="AB30" i="8"/>
  <c r="AB44" i="8"/>
  <c r="AB42" i="8"/>
  <c r="AB32" i="8"/>
  <c r="AB38" i="8"/>
  <c r="AO105" i="5"/>
  <c r="N46" i="8"/>
  <c r="U54" i="8"/>
  <c r="N34" i="8"/>
  <c r="N38" i="8"/>
  <c r="N30" i="8"/>
  <c r="U40" i="8"/>
  <c r="U28" i="8"/>
  <c r="N40" i="8"/>
  <c r="N36" i="8"/>
  <c r="U32" i="8"/>
  <c r="N44" i="8"/>
  <c r="U38" i="8"/>
  <c r="U42" i="8"/>
  <c r="N48" i="8"/>
  <c r="U30" i="8"/>
  <c r="N50" i="8"/>
  <c r="N52" i="8"/>
  <c r="U36" i="8"/>
  <c r="N28" i="8"/>
  <c r="U50" i="8"/>
  <c r="N54" i="8"/>
  <c r="N26" i="8"/>
  <c r="U26" i="8"/>
  <c r="U24" i="8"/>
  <c r="N32" i="8"/>
  <c r="U46" i="8"/>
  <c r="U34" i="8"/>
  <c r="N24" i="8"/>
  <c r="U52" i="8"/>
  <c r="U44" i="8"/>
  <c r="N42" i="8"/>
  <c r="U48" i="8"/>
  <c r="M192" i="5" l="1"/>
  <c r="AL192" i="5" s="1"/>
  <c r="AL193" i="5"/>
  <c r="AQ87" i="3"/>
  <c r="M183" i="3" s="1"/>
  <c r="AM183" i="3" s="1"/>
  <c r="AN102" i="5" l="1"/>
  <c r="AS88" i="3"/>
  <c r="AW18" i="5" l="1"/>
  <c r="AW16" i="5" l="1"/>
  <c r="B111" i="5" l="1"/>
  <c r="C93" i="3"/>
  <c r="C85" i="3"/>
  <c r="F45" i="5"/>
  <c r="F32" i="5"/>
  <c r="G93" i="3" l="1"/>
  <c r="G92" i="3"/>
  <c r="G91" i="3"/>
  <c r="G90" i="3"/>
  <c r="G89" i="3"/>
  <c r="G88" i="3"/>
  <c r="G85" i="3"/>
  <c r="G84" i="3"/>
  <c r="G83" i="3"/>
  <c r="G82" i="3"/>
  <c r="G81" i="3"/>
  <c r="G80" i="3"/>
  <c r="G111" i="5"/>
  <c r="G110" i="5"/>
  <c r="G109" i="5"/>
  <c r="G108" i="5"/>
  <c r="G107" i="5"/>
  <c r="G106" i="5"/>
  <c r="J40" i="5"/>
  <c r="J27" i="5"/>
  <c r="J45" i="5"/>
  <c r="J44" i="5"/>
  <c r="J43" i="5"/>
  <c r="J42" i="5"/>
  <c r="J41" i="5"/>
  <c r="J32" i="5"/>
  <c r="J31" i="5"/>
  <c r="J30" i="5"/>
  <c r="J29" i="5"/>
  <c r="J28" i="5"/>
  <c r="AV12" i="3" l="1"/>
  <c r="AV21" i="3" s="1"/>
  <c r="AV33" i="3" s="1"/>
  <c r="AV41" i="3" s="1"/>
  <c r="AV12" i="5" l="1"/>
  <c r="AV13" i="5" s="1"/>
  <c r="AV15" i="5" s="1"/>
  <c r="AV17" i="5" s="1"/>
  <c r="AV28" i="5" s="1"/>
  <c r="AV30" i="5" s="1"/>
  <c r="AV32" i="5" s="1"/>
  <c r="AV36" i="5" l="1"/>
  <c r="AV37" i="5" s="1"/>
  <c r="AV41" i="5" s="1"/>
  <c r="AV42" i="5" s="1"/>
  <c r="AV51" i="5" s="1"/>
  <c r="AV52" i="5" s="1"/>
  <c r="AV54" i="5" s="1"/>
  <c r="AO143" i="3"/>
  <c r="AN143" i="3"/>
  <c r="AM143" i="3"/>
  <c r="AO141" i="3"/>
  <c r="AN141" i="3"/>
  <c r="AM141" i="3"/>
  <c r="AO139" i="3"/>
  <c r="AN139" i="3"/>
  <c r="AM139" i="3"/>
  <c r="AO137" i="3" l="1"/>
  <c r="AN137" i="3"/>
  <c r="AM137" i="3"/>
  <c r="AO135" i="3"/>
  <c r="AN135" i="3"/>
  <c r="AM135" i="3"/>
  <c r="AO133" i="3"/>
  <c r="AN133" i="3"/>
  <c r="AM133" i="3"/>
  <c r="AO131" i="3"/>
  <c r="AN131" i="3"/>
  <c r="AM131" i="3"/>
  <c r="AM127" i="3" s="1"/>
  <c r="M185" i="3" s="1"/>
  <c r="AM185" i="3" s="1"/>
  <c r="AO129" i="3"/>
  <c r="AN129" i="3"/>
  <c r="AM129" i="3"/>
  <c r="B192" i="3"/>
  <c r="B196" i="5"/>
  <c r="AN98" i="5" l="1"/>
  <c r="AL70" i="5" l="1"/>
  <c r="AL71" i="5"/>
  <c r="AL72" i="5"/>
  <c r="AL74" i="5"/>
  <c r="AL76" i="5"/>
  <c r="AL77" i="5"/>
  <c r="AL69" i="5"/>
  <c r="AL107" i="5"/>
  <c r="AL108" i="5"/>
  <c r="AL109" i="5"/>
  <c r="AL106" i="5"/>
  <c r="AL28" i="5"/>
  <c r="AL29" i="5"/>
  <c r="AL30" i="5"/>
  <c r="AL31" i="5"/>
  <c r="AL32" i="5"/>
  <c r="AL105" i="5" l="1"/>
  <c r="AN105" i="5"/>
  <c r="M190" i="5" s="1"/>
  <c r="AL26" i="5"/>
  <c r="AS89" i="3"/>
  <c r="AS90" i="3"/>
  <c r="AS91" i="3"/>
  <c r="AS92" i="3"/>
  <c r="AS93" i="3"/>
  <c r="AP89" i="3"/>
  <c r="AP91" i="3"/>
  <c r="AP92" i="3"/>
  <c r="AP93" i="3"/>
  <c r="AO89" i="3"/>
  <c r="AO90" i="3"/>
  <c r="AO91" i="3"/>
  <c r="AO88" i="3"/>
  <c r="AN89" i="3"/>
  <c r="AN91" i="3"/>
  <c r="AN92" i="3"/>
  <c r="AN93" i="3"/>
  <c r="AN88" i="3"/>
  <c r="AO37" i="3"/>
  <c r="AM37" i="3"/>
  <c r="AM38" i="3"/>
  <c r="AO87" i="3" l="1"/>
  <c r="AS87" i="3"/>
  <c r="M182" i="3" s="1"/>
  <c r="AM182" i="3" s="1"/>
  <c r="AL45" i="5"/>
  <c r="AL44" i="5"/>
  <c r="AL43" i="5"/>
  <c r="AL42" i="5"/>
  <c r="AL41" i="5"/>
  <c r="AN32" i="5"/>
  <c r="AQ105" i="5" l="1"/>
  <c r="M191" i="5" s="1"/>
  <c r="AL191" i="5" s="1"/>
  <c r="AL39" i="5"/>
  <c r="B110" i="5"/>
  <c r="AD23" i="3"/>
  <c r="AD28" i="3"/>
  <c r="AD29" i="3"/>
  <c r="AD30" i="3"/>
  <c r="AD31" i="3"/>
  <c r="AD32" i="3"/>
  <c r="AD33" i="3"/>
  <c r="AD27" i="3"/>
  <c r="L69" i="5"/>
  <c r="L65" i="5"/>
  <c r="L71" i="5"/>
  <c r="L72" i="5"/>
  <c r="L74" i="5"/>
  <c r="L76" i="5"/>
  <c r="L77" i="5"/>
  <c r="L70" i="5"/>
  <c r="C80" i="3" l="1"/>
  <c r="C88" i="3"/>
  <c r="C81" i="3"/>
  <c r="C89" i="3"/>
  <c r="C82" i="3"/>
  <c r="C90" i="3"/>
  <c r="C83" i="3"/>
  <c r="C91" i="3"/>
  <c r="C92" i="3"/>
  <c r="C84" i="3"/>
  <c r="F41" i="5"/>
  <c r="B107" i="5"/>
  <c r="F28" i="5"/>
  <c r="B108" i="5"/>
  <c r="F29" i="5"/>
  <c r="F42" i="5"/>
  <c r="F27" i="5"/>
  <c r="B106" i="5"/>
  <c r="F40" i="5"/>
  <c r="F30" i="5"/>
  <c r="F43" i="5"/>
  <c r="B109" i="5"/>
  <c r="F31" i="5"/>
  <c r="F44" i="5"/>
  <c r="K169" i="3"/>
  <c r="AP78" i="3"/>
  <c r="AP90" i="3" s="1"/>
  <c r="J13" i="2"/>
  <c r="AM112" i="5"/>
  <c r="Q58" i="3"/>
  <c r="AM39" i="3"/>
  <c r="AO38" i="3"/>
  <c r="AO39" i="3"/>
  <c r="AR107" i="5" l="1"/>
  <c r="AR111" i="5"/>
  <c r="AR106" i="5"/>
  <c r="AR108" i="5"/>
  <c r="AR109" i="5"/>
  <c r="AR110" i="5"/>
  <c r="AM106" i="5"/>
  <c r="AM36" i="3"/>
  <c r="M170" i="3" s="1"/>
  <c r="AM109" i="5"/>
  <c r="AM110" i="5"/>
  <c r="AM111" i="5"/>
  <c r="AM108" i="5"/>
  <c r="AM107" i="5"/>
  <c r="AM171" i="3"/>
  <c r="AH81" i="3"/>
  <c r="AH82" i="3"/>
  <c r="AO82" i="3" l="1"/>
  <c r="AN82" i="3"/>
  <c r="AO81" i="3"/>
  <c r="AN81" i="3"/>
  <c r="AR105" i="5"/>
  <c r="M188" i="5" s="1"/>
  <c r="AL188" i="5" s="1"/>
  <c r="AM82" i="3"/>
  <c r="AM81" i="3"/>
  <c r="I80" i="3"/>
  <c r="AM80" i="3" s="1"/>
  <c r="J19" i="5"/>
  <c r="AL15" i="5" l="1"/>
  <c r="AP13" i="5"/>
  <c r="AP14" i="5" s="1"/>
  <c r="AM88" i="3"/>
  <c r="W19" i="5" l="1"/>
  <c r="AE15" i="5"/>
  <c r="W18" i="5"/>
  <c r="AL186" i="5"/>
  <c r="AG149" i="3" l="1"/>
  <c r="AH85" i="3"/>
  <c r="AD81" i="3"/>
  <c r="AD82" i="3"/>
  <c r="AD83" i="3"/>
  <c r="AD84" i="3"/>
  <c r="AD85" i="3"/>
  <c r="U81" i="3"/>
  <c r="U82" i="3"/>
  <c r="U83" i="3"/>
  <c r="U84" i="3"/>
  <c r="U85" i="3"/>
  <c r="Q81" i="3"/>
  <c r="Q82" i="3"/>
  <c r="Q83" i="3"/>
  <c r="Q84" i="3"/>
  <c r="Q85" i="3"/>
  <c r="M81" i="3"/>
  <c r="M82" i="3"/>
  <c r="AN90" i="3" s="1"/>
  <c r="M83" i="3"/>
  <c r="M84" i="3"/>
  <c r="M85" i="3"/>
  <c r="AM90" i="3"/>
  <c r="I83" i="3"/>
  <c r="I84" i="3"/>
  <c r="I85" i="3"/>
  <c r="AD80" i="3"/>
  <c r="U80" i="3"/>
  <c r="Q80" i="3"/>
  <c r="M80" i="3"/>
  <c r="N71" i="3"/>
  <c r="N72" i="3"/>
  <c r="N73" i="3"/>
  <c r="N74" i="3"/>
  <c r="N75" i="3"/>
  <c r="N76" i="3"/>
  <c r="H71" i="3"/>
  <c r="H72" i="3"/>
  <c r="H73" i="3"/>
  <c r="H74" i="3"/>
  <c r="H75" i="3"/>
  <c r="H76" i="3"/>
  <c r="C71" i="3"/>
  <c r="C72" i="3"/>
  <c r="C73" i="3"/>
  <c r="C74" i="3"/>
  <c r="C75" i="3"/>
  <c r="C76" i="3"/>
  <c r="N70" i="3"/>
  <c r="H70" i="3"/>
  <c r="C70" i="3"/>
  <c r="N64" i="3"/>
  <c r="N65" i="3"/>
  <c r="N66" i="3"/>
  <c r="N67" i="3"/>
  <c r="N68" i="3"/>
  <c r="N69" i="3"/>
  <c r="H64" i="3"/>
  <c r="H65" i="3"/>
  <c r="H66" i="3"/>
  <c r="H67" i="3"/>
  <c r="H68" i="3"/>
  <c r="H69" i="3"/>
  <c r="C64" i="3"/>
  <c r="C65" i="3"/>
  <c r="C66" i="3"/>
  <c r="C67" i="3"/>
  <c r="C68" i="3"/>
  <c r="C69" i="3"/>
  <c r="N63" i="3"/>
  <c r="H63" i="3"/>
  <c r="C63" i="3"/>
  <c r="J43" i="3"/>
  <c r="J42" i="3"/>
  <c r="O39" i="3"/>
  <c r="O38" i="3"/>
  <c r="O37" i="3"/>
  <c r="E39" i="3"/>
  <c r="E38" i="3"/>
  <c r="E37" i="3"/>
  <c r="Q28" i="3"/>
  <c r="Q29" i="3"/>
  <c r="Q30" i="3"/>
  <c r="Q31" i="3"/>
  <c r="Q32" i="3"/>
  <c r="Q33" i="3"/>
  <c r="Q27" i="3"/>
  <c r="M28" i="3"/>
  <c r="M29" i="3"/>
  <c r="M30" i="3"/>
  <c r="M31" i="3"/>
  <c r="M32" i="3"/>
  <c r="M33" i="3"/>
  <c r="M27" i="3"/>
  <c r="I28" i="3"/>
  <c r="I29" i="3"/>
  <c r="I30" i="3"/>
  <c r="I31" i="3"/>
  <c r="I32" i="3"/>
  <c r="I33" i="3"/>
  <c r="E28" i="3"/>
  <c r="L28" i="3" s="1"/>
  <c r="E29" i="3"/>
  <c r="L29" i="3" s="1"/>
  <c r="E30" i="3"/>
  <c r="L30" i="3" s="1"/>
  <c r="E31" i="3"/>
  <c r="L31" i="3" s="1"/>
  <c r="E32" i="3"/>
  <c r="L32" i="3" s="1"/>
  <c r="E33" i="3"/>
  <c r="L33" i="3" s="1"/>
  <c r="E27" i="3"/>
  <c r="Q23" i="3"/>
  <c r="M23" i="3"/>
  <c r="I23" i="3"/>
  <c r="Q22" i="3"/>
  <c r="M22" i="3"/>
  <c r="I22" i="3"/>
  <c r="E23" i="3"/>
  <c r="L23" i="3" s="1"/>
  <c r="E22" i="3"/>
  <c r="B28" i="3"/>
  <c r="B29" i="3"/>
  <c r="B30" i="3"/>
  <c r="B31" i="3"/>
  <c r="B32" i="3"/>
  <c r="B33" i="3"/>
  <c r="B27" i="3"/>
  <c r="AO85" i="3" l="1"/>
  <c r="AN85" i="3"/>
  <c r="AM93" i="3"/>
  <c r="AM85" i="3"/>
  <c r="AM92" i="3"/>
  <c r="AM84" i="3"/>
  <c r="AM91" i="3"/>
  <c r="AM83" i="3"/>
  <c r="AM89" i="3"/>
  <c r="L27" i="3"/>
  <c r="AM87" i="3" l="1"/>
  <c r="M177" i="3" s="1"/>
  <c r="AM177" i="3" s="1"/>
  <c r="AG98" i="3"/>
  <c r="AG54" i="3"/>
  <c r="AO91" i="5"/>
  <c r="AN91" i="5"/>
  <c r="AL181" i="5"/>
  <c r="AE155" i="5" l="1"/>
  <c r="AE154" i="5"/>
  <c r="D154" i="5"/>
  <c r="Y10" i="3" l="1"/>
  <c r="AY19" i="3"/>
  <c r="D158" i="5" l="1"/>
  <c r="AW41" i="3"/>
  <c r="AM67" i="5" l="1"/>
  <c r="AM61" i="5"/>
  <c r="E7" i="3" l="1"/>
  <c r="D149" i="3" s="1"/>
  <c r="B148" i="3"/>
  <c r="B97" i="3"/>
  <c r="B53" i="3"/>
  <c r="B153" i="5"/>
  <c r="B101" i="5"/>
  <c r="B52" i="5"/>
  <c r="AM119" i="3"/>
  <c r="AM16" i="3" l="1"/>
  <c r="AM15" i="3"/>
  <c r="AL58" i="5"/>
  <c r="AL57" i="5"/>
  <c r="G15" i="2" l="1"/>
  <c r="AA18" i="5" s="1"/>
  <c r="AM63" i="3"/>
  <c r="AN63" i="3"/>
  <c r="AM43" i="3"/>
  <c r="AM42" i="3"/>
  <c r="P22" i="5"/>
  <c r="W17" i="5" l="1"/>
  <c r="AO42" i="3"/>
  <c r="AQ83" i="5"/>
  <c r="AO83" i="5"/>
  <c r="AO82" i="5"/>
  <c r="AM82" i="5"/>
  <c r="AM81" i="5"/>
  <c r="AM45" i="5"/>
  <c r="AM44" i="5"/>
  <c r="AM43" i="5"/>
  <c r="AM42" i="5"/>
  <c r="AM41" i="5"/>
  <c r="AM40" i="5"/>
  <c r="AM28" i="5"/>
  <c r="AM29" i="5"/>
  <c r="AM30" i="5"/>
  <c r="AM31" i="5"/>
  <c r="AM32" i="5"/>
  <c r="AM27" i="5"/>
  <c r="AM80" i="5"/>
  <c r="M172" i="3" l="1"/>
  <c r="AM172" i="3" s="1"/>
  <c r="AM79" i="5"/>
  <c r="M180" i="5" s="1"/>
  <c r="AM83" i="5"/>
  <c r="M182" i="5" s="1"/>
  <c r="AL182" i="5" s="1"/>
  <c r="AM39" i="5"/>
  <c r="M178" i="5" s="1"/>
  <c r="AF8" i="3"/>
  <c r="AG150" i="3" s="1"/>
  <c r="I25" i="3"/>
  <c r="E25" i="3"/>
  <c r="I19" i="3"/>
  <c r="E19" i="3"/>
  <c r="L17" i="3"/>
  <c r="E17" i="3"/>
  <c r="L16" i="3"/>
  <c r="E16" i="3"/>
  <c r="E15" i="3"/>
  <c r="L14" i="3"/>
  <c r="E14" i="3"/>
  <c r="E8" i="3"/>
  <c r="AL79" i="5"/>
  <c r="AL56" i="5"/>
  <c r="AB35" i="5"/>
  <c r="X35" i="5"/>
  <c r="T35" i="5"/>
  <c r="P35" i="5"/>
  <c r="L35" i="5"/>
  <c r="L22" i="5"/>
  <c r="AB22" i="5"/>
  <c r="X22" i="5"/>
  <c r="T22" i="5"/>
  <c r="AL92" i="5"/>
  <c r="AM92" i="5"/>
  <c r="AL93" i="5"/>
  <c r="AM93" i="5"/>
  <c r="AL94" i="5"/>
  <c r="AM94" i="5"/>
  <c r="AL95" i="5"/>
  <c r="AM95" i="5"/>
  <c r="AL96" i="5"/>
  <c r="AM96" i="5"/>
  <c r="AL97" i="5"/>
  <c r="AM97" i="5"/>
  <c r="AM91" i="5"/>
  <c r="AL91" i="5"/>
  <c r="AL67" i="5"/>
  <c r="AL65" i="5"/>
  <c r="AL64" i="5"/>
  <c r="AL61" i="5"/>
  <c r="AE103" i="5"/>
  <c r="AE102" i="5"/>
  <c r="D102" i="5"/>
  <c r="AE54" i="5"/>
  <c r="AE53" i="5"/>
  <c r="D53" i="5"/>
  <c r="W15" i="5"/>
  <c r="BJ1" i="5"/>
  <c r="AN119" i="3"/>
  <c r="AM33" i="3"/>
  <c r="AM32" i="3"/>
  <c r="AM31" i="3"/>
  <c r="AM30" i="3"/>
  <c r="AM29" i="3"/>
  <c r="AM28" i="3"/>
  <c r="AM27" i="3"/>
  <c r="AM23" i="3"/>
  <c r="AO76" i="3"/>
  <c r="AO75" i="3"/>
  <c r="AO74" i="3"/>
  <c r="AO73" i="3"/>
  <c r="AO72" i="3"/>
  <c r="AO71" i="3"/>
  <c r="AO70" i="3"/>
  <c r="AO69" i="3"/>
  <c r="AO68" i="3"/>
  <c r="AO67" i="3"/>
  <c r="AO66" i="3"/>
  <c r="AO65" i="3"/>
  <c r="AO64" i="3"/>
  <c r="AO63" i="3"/>
  <c r="AM22" i="3"/>
  <c r="AM25" i="3"/>
  <c r="AM19" i="3"/>
  <c r="AL180" i="5" l="1"/>
  <c r="AM26" i="5"/>
  <c r="M177" i="5" s="1"/>
  <c r="AM105" i="5"/>
  <c r="AP87" i="3"/>
  <c r="AM170" i="3"/>
  <c r="M181" i="3" l="1"/>
  <c r="AM181" i="3" s="1"/>
  <c r="M179" i="3"/>
  <c r="AM179" i="3" s="1"/>
  <c r="M189" i="5"/>
  <c r="AL189" i="5" s="1"/>
  <c r="M187" i="5"/>
  <c r="AL187" i="5" s="1"/>
  <c r="AL178" i="5"/>
  <c r="AL177" i="5"/>
  <c r="H98" i="5"/>
  <c r="AM98" i="5" s="1"/>
  <c r="AN87" i="3"/>
  <c r="AP98" i="5" l="1"/>
  <c r="M178" i="3"/>
  <c r="AM178" i="3" s="1"/>
  <c r="K58" i="3"/>
  <c r="AM58" i="3" s="1"/>
  <c r="AL190" i="5"/>
  <c r="AG99" i="3"/>
  <c r="D54" i="3"/>
  <c r="M184" i="5" l="1"/>
  <c r="AL184" i="5" s="1"/>
  <c r="AL175" i="5" s="1"/>
  <c r="AO58" i="3"/>
  <c r="M174" i="3" s="1"/>
  <c r="AM174" i="3" s="1"/>
  <c r="AG55" i="3"/>
  <c r="D98" i="3"/>
  <c r="AM6" i="3"/>
  <c r="AM169" i="3" s="1"/>
  <c r="AM16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Note</author>
    <author>Dewayne Smith</author>
  </authors>
  <commentList>
    <comment ref="E8" authorId="0" shapeId="0" xr:uid="{C55CD238-061E-45BF-9434-22A13911FAA3}">
      <text>
        <r>
          <rPr>
            <b/>
            <sz val="9"/>
            <color indexed="81"/>
            <rFont val="Tahoma"/>
            <family val="2"/>
          </rPr>
          <t>Note:</t>
        </r>
        <r>
          <rPr>
            <sz val="9"/>
            <color indexed="81"/>
            <rFont val="Tahoma"/>
            <family val="2"/>
          </rPr>
          <t xml:space="preserve">
Enter street address of proposed development.</t>
        </r>
      </text>
    </comment>
    <comment ref="AE8" authorId="0" shapeId="0" xr:uid="{6ACC92AC-F9DB-4E47-9AB4-9A57569D4C7D}">
      <text>
        <r>
          <rPr>
            <b/>
            <sz val="9"/>
            <color indexed="81"/>
            <rFont val="Tahoma"/>
            <family val="2"/>
          </rPr>
          <t>Note:</t>
        </r>
        <r>
          <rPr>
            <sz val="9"/>
            <color indexed="81"/>
            <rFont val="Tahoma"/>
            <family val="2"/>
          </rPr>
          <t xml:space="preserve">
Provide a unique BMP ID
Examples:
   Pond 1
   Pond A
   1
   A</t>
        </r>
      </text>
    </comment>
    <comment ref="AA13" authorId="0" shapeId="0" xr:uid="{85C581C2-F67F-4C82-96EC-1E6D0931755E}">
      <text>
        <r>
          <rPr>
            <b/>
            <sz val="9"/>
            <color indexed="81"/>
            <rFont val="Tahoma"/>
            <family val="2"/>
          </rPr>
          <t>Note:</t>
        </r>
        <r>
          <rPr>
            <sz val="9"/>
            <color indexed="81"/>
            <rFont val="Tahoma"/>
            <family val="2"/>
          </rPr>
          <t xml:space="preserve">
If there is no EIA, enter 0</t>
        </r>
      </text>
    </comment>
    <comment ref="L23" authorId="0" shapeId="0" xr:uid="{3D4FE7FD-718D-450E-8043-7B67F64EB9DF}">
      <text>
        <r>
          <rPr>
            <b/>
            <sz val="9"/>
            <color indexed="81"/>
            <rFont val="Tahoma"/>
            <family val="2"/>
          </rPr>
          <t>Note:</t>
        </r>
        <r>
          <rPr>
            <sz val="9"/>
            <color indexed="81"/>
            <rFont val="Tahoma"/>
            <family val="2"/>
          </rPr>
          <t xml:space="preserve">
Enter a unique Basin ID for each subbasin</t>
        </r>
      </text>
    </comment>
    <comment ref="L36" authorId="0" shapeId="0" xr:uid="{9DF27810-DD88-4DEF-A7C8-91C2F04AEFA3}">
      <text>
        <r>
          <rPr>
            <b/>
            <sz val="9"/>
            <color indexed="81"/>
            <rFont val="Tahoma"/>
            <family val="2"/>
          </rPr>
          <t>Note:</t>
        </r>
        <r>
          <rPr>
            <sz val="9"/>
            <color indexed="81"/>
            <rFont val="Tahoma"/>
            <family val="2"/>
          </rPr>
          <t xml:space="preserve">
Enter a unique Basin ID for each subbasin.  If there are more than 5 subbasins, enter the information for each subasin entering into the detention pond.</t>
        </r>
      </text>
    </comment>
    <comment ref="B69" authorId="1" shapeId="0" xr:uid="{31FBDE72-B96D-4AFC-A32E-71267581887C}">
      <text>
        <r>
          <rPr>
            <b/>
            <sz val="9"/>
            <color indexed="81"/>
            <rFont val="Tahoma"/>
            <family val="2"/>
          </rPr>
          <t>Note:</t>
        </r>
        <r>
          <rPr>
            <sz val="9"/>
            <color indexed="81"/>
            <rFont val="Tahoma"/>
            <family val="2"/>
          </rPr>
          <t xml:space="preserve">
Select control structure type:  Orifice or Weir</t>
        </r>
      </text>
    </comment>
    <comment ref="O83" authorId="2" shapeId="0" xr:uid="{67AFC25D-ED9C-44A7-ADC1-D0E6227680BB}">
      <text>
        <r>
          <rPr>
            <b/>
            <sz val="9"/>
            <color indexed="81"/>
            <rFont val="Tahoma"/>
            <family val="2"/>
          </rPr>
          <t>Note:</t>
        </r>
        <r>
          <rPr>
            <sz val="9"/>
            <color indexed="81"/>
            <rFont val="Tahoma"/>
            <family val="2"/>
          </rPr>
          <t xml:space="preserve">
Enter number in decimal format.  Example: 00.000000</t>
        </r>
      </text>
    </comment>
    <comment ref="W83" authorId="1" shapeId="0" xr:uid="{6762E1B3-3413-4AB1-BDBA-2F0A157AC93B}">
      <text>
        <r>
          <rPr>
            <b/>
            <sz val="9"/>
            <color indexed="81"/>
            <rFont val="Tahoma"/>
            <family val="2"/>
          </rPr>
          <t>Note:</t>
        </r>
        <r>
          <rPr>
            <sz val="9"/>
            <color indexed="81"/>
            <rFont val="Tahoma"/>
            <family val="2"/>
          </rPr>
          <t xml:space="preserve">
Enter number in decimal degrees.  Example: -00.000000</t>
        </r>
      </text>
    </comment>
    <comment ref="C91" authorId="0" shapeId="0" xr:uid="{2CFED518-D1A9-4B60-BDBC-A9A9E3DC834F}">
      <text>
        <r>
          <rPr>
            <b/>
            <sz val="9"/>
            <color indexed="81"/>
            <rFont val="Tahoma"/>
            <family val="2"/>
          </rPr>
          <t>Note:</t>
        </r>
        <r>
          <rPr>
            <sz val="9"/>
            <color indexed="81"/>
            <rFont val="Tahoma"/>
            <family val="2"/>
          </rPr>
          <t xml:space="preserve">
Include the elevation that represents the WQv</t>
        </r>
      </text>
    </comment>
    <comment ref="AD98" authorId="0" shapeId="0" xr:uid="{0CA60BB4-6411-42AA-84AF-A4D69206F8F8}">
      <text>
        <r>
          <rPr>
            <b/>
            <sz val="9"/>
            <color indexed="81"/>
            <rFont val="Tahoma"/>
            <family val="2"/>
          </rPr>
          <t>Note:</t>
        </r>
        <r>
          <rPr>
            <sz val="9"/>
            <color indexed="81"/>
            <rFont val="Tahoma"/>
            <family val="2"/>
          </rPr>
          <t xml:space="preserve">
Enter the elevation that correlates to the WQv</t>
        </r>
      </text>
    </comment>
    <comment ref="F167" authorId="0" shapeId="0" xr:uid="{3D1D5ADD-6354-4D61-BCFA-1452D8DB6318}">
      <text>
        <r>
          <rPr>
            <b/>
            <sz val="9"/>
            <color indexed="81"/>
            <rFont val="Tahoma"/>
            <family val="2"/>
          </rPr>
          <t>Note:</t>
        </r>
        <r>
          <rPr>
            <sz val="9"/>
            <color indexed="81"/>
            <rFont val="Tahoma"/>
            <family val="2"/>
          </rPr>
          <t xml:space="preserve">
Enter street addres of proposed development</t>
        </r>
      </text>
    </comment>
    <comment ref="AD172" authorId="0" shapeId="0" xr:uid="{53598FF7-A619-432B-A9DD-CE90AEFEEED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2878E7EA-7AE6-4A2A-94BD-D53AC67A10AD}">
      <text>
        <r>
          <rPr>
            <b/>
            <sz val="9"/>
            <color indexed="81"/>
            <rFont val="Tahoma"/>
            <family val="2"/>
          </rPr>
          <t>Note:</t>
        </r>
        <r>
          <rPr>
            <sz val="9"/>
            <color indexed="81"/>
            <rFont val="Tahoma"/>
            <family val="2"/>
          </rPr>
          <t xml:space="preserve">
Enter street address of proposed development</t>
        </r>
      </text>
    </comment>
    <comment ref="T9" authorId="0" shapeId="0" xr:uid="{8E3663BC-34A3-46EE-AC39-1741E3C23A50}">
      <text>
        <r>
          <rPr>
            <b/>
            <sz val="9"/>
            <color indexed="81"/>
            <rFont val="Tahoma"/>
            <family val="2"/>
          </rPr>
          <t>Note:</t>
        </r>
        <r>
          <rPr>
            <sz val="9"/>
            <color indexed="81"/>
            <rFont val="Tahoma"/>
            <family val="2"/>
          </rPr>
          <t xml:space="preserve">
Enter number in decimal format.  Example: 00.000000</t>
        </r>
      </text>
    </comment>
    <comment ref="T10" authorId="0" shapeId="0" xr:uid="{6EB7E8A5-3ACB-47CC-9509-934783EFBDED}">
      <text>
        <r>
          <rPr>
            <b/>
            <sz val="9"/>
            <color indexed="81"/>
            <rFont val="Tahoma"/>
            <family val="2"/>
          </rPr>
          <t>Note:</t>
        </r>
        <r>
          <rPr>
            <sz val="9"/>
            <color indexed="81"/>
            <rFont val="Tahoma"/>
            <family val="2"/>
          </rPr>
          <t xml:space="preserve">
Enter number in decimal format.  Example: -00.000000</t>
        </r>
      </text>
    </comment>
    <comment ref="E89" authorId="0" shapeId="0" xr:uid="{18EA9110-3710-46A6-B50E-129AA29F6E00}">
      <text>
        <r>
          <rPr>
            <b/>
            <sz val="9"/>
            <color indexed="81"/>
            <rFont val="Tahoma"/>
            <family val="2"/>
          </rPr>
          <t>Note:</t>
        </r>
        <r>
          <rPr>
            <sz val="9"/>
            <color indexed="81"/>
            <rFont val="Tahoma"/>
            <family val="2"/>
          </rPr>
          <t xml:space="preserve">
Enter street address of proposed development</t>
        </r>
      </text>
    </comment>
    <comment ref="AC94" authorId="0" shapeId="0" xr:uid="{369B5333-883A-404A-B778-31E2A0F00BFE}">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42" authorId="0" shapeId="0" xr:uid="{5F762452-803F-45FE-8887-E68BDC5C7870}">
      <text>
        <r>
          <rPr>
            <b/>
            <sz val="9"/>
            <color indexed="81"/>
            <rFont val="Tahoma"/>
            <family val="2"/>
          </rPr>
          <t>Note:</t>
        </r>
        <r>
          <rPr>
            <sz val="9"/>
            <color indexed="81"/>
            <rFont val="Tahoma"/>
            <family val="2"/>
          </rPr>
          <t xml:space="preserve">
Enter number in decimal format.
Example: 00.000000</t>
        </r>
      </text>
    </comment>
    <comment ref="AD43" authorId="0" shapeId="0" xr:uid="{A39AAF87-BA30-45BB-BEC0-515A1416D0CB}">
      <text>
        <r>
          <rPr>
            <b/>
            <sz val="9"/>
            <color indexed="81"/>
            <rFont val="Tahoma"/>
            <family val="2"/>
          </rPr>
          <t>Note:</t>
        </r>
        <r>
          <rPr>
            <sz val="9"/>
            <color indexed="81"/>
            <rFont val="Tahoma"/>
            <family val="2"/>
          </rPr>
          <t xml:space="preserve">
Enter number in decimal format.
Example: 00.000000</t>
        </r>
      </text>
    </comment>
    <comment ref="E160" authorId="0" shapeId="0" xr:uid="{99DB24EF-9B39-44DF-A32D-FAA5F0E29C6F}">
      <text>
        <r>
          <rPr>
            <b/>
            <sz val="9"/>
            <color indexed="81"/>
            <rFont val="Tahoma"/>
            <family val="2"/>
          </rPr>
          <t>Note:</t>
        </r>
        <r>
          <rPr>
            <sz val="9"/>
            <color indexed="81"/>
            <rFont val="Tahoma"/>
            <family val="2"/>
          </rPr>
          <t xml:space="preserve">
Enter street addres of proposed development</t>
        </r>
      </text>
    </comment>
    <comment ref="AC165" authorId="0" shapeId="0" xr:uid="{E7703903-6AF8-4EDE-BDCC-5E0C93F02E7E}">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<sst xmlns="http://schemas.openxmlformats.org/spreadsheetml/2006/main" count="1208" uniqueCount="535">
  <si>
    <t>Development Information</t>
  </si>
  <si>
    <t>Name:</t>
  </si>
  <si>
    <t>Proposed Impervious Area (PIA)</t>
  </si>
  <si>
    <t>Pre-Development</t>
  </si>
  <si>
    <t>Curve Number:</t>
  </si>
  <si>
    <t>(WQ)</t>
  </si>
  <si>
    <t>(2-yr)</t>
  </si>
  <si>
    <t>(5-yr)</t>
  </si>
  <si>
    <t>(10-yr)</t>
  </si>
  <si>
    <t>(25-yr)</t>
  </si>
  <si>
    <t>(100-yr)</t>
  </si>
  <si>
    <t>Post-Development</t>
  </si>
  <si>
    <t>Post Total</t>
  </si>
  <si>
    <t>Pre Total</t>
  </si>
  <si>
    <t>Outfall Location</t>
  </si>
  <si>
    <t>Elevation</t>
  </si>
  <si>
    <t>Area</t>
  </si>
  <si>
    <t>Professional Engineer Certification</t>
  </si>
  <si>
    <t>Date:</t>
  </si>
  <si>
    <t>Comments:</t>
  </si>
  <si>
    <t>Material</t>
  </si>
  <si>
    <t>Concrete</t>
  </si>
  <si>
    <t>Metal</t>
  </si>
  <si>
    <t>HDPP</t>
  </si>
  <si>
    <t>PVC</t>
  </si>
  <si>
    <t>HDPE</t>
  </si>
  <si>
    <t>Material:</t>
  </si>
  <si>
    <t>Other</t>
  </si>
  <si>
    <t>Select</t>
  </si>
  <si>
    <t>Shape:</t>
  </si>
  <si>
    <t>Shape</t>
  </si>
  <si>
    <t>BMP ID:</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</si>
  <si>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</si>
  <si>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</si>
  <si>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</si>
  <si>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r>
      <t>ft</t>
    </r>
    <r>
      <rPr>
        <vertAlign val="superscript"/>
        <sz val="10"/>
        <color theme="1"/>
        <rFont val="Calibri"/>
        <family val="2"/>
      </rPr>
      <t>2</t>
    </r>
  </si>
  <si>
    <t>Width:</t>
  </si>
  <si>
    <t>Inv. EL</t>
  </si>
  <si>
    <t>in</t>
  </si>
  <si>
    <t>ft</t>
  </si>
  <si>
    <t>Length:</t>
  </si>
  <si>
    <t>Top EL.:</t>
  </si>
  <si>
    <t>Latitude:</t>
  </si>
  <si>
    <t>Longitude:</t>
  </si>
  <si>
    <t>Basin ID:</t>
  </si>
  <si>
    <t>Cumulative Vol.</t>
  </si>
  <si>
    <t>Width</t>
  </si>
  <si>
    <t>Time of Concentration (min):</t>
  </si>
  <si>
    <t>Additional Impervious Area (AIA) = PIA - EIA</t>
  </si>
  <si>
    <t>Form 3A - Detention Pond
As-Built Certification Form</t>
  </si>
  <si>
    <t>Design</t>
  </si>
  <si>
    <t>As-Built</t>
  </si>
  <si>
    <t>Water Quality Volume (WQv)</t>
  </si>
  <si>
    <t>WQv Required:</t>
  </si>
  <si>
    <t>WQv Provided:</t>
  </si>
  <si>
    <r>
      <t>Pre Q
(ft</t>
    </r>
    <r>
      <rPr>
        <vertAlign val="superscript"/>
        <sz val="8"/>
        <color theme="1"/>
        <rFont val="Calibri"/>
        <family val="2"/>
      </rPr>
      <t>3</t>
    </r>
    <r>
      <rPr>
        <sz val="10"/>
        <color theme="1"/>
        <rFont val="Calibri"/>
        <family val="2"/>
        <scheme val="minor"/>
      </rPr>
      <t>/s)</t>
    </r>
  </si>
  <si>
    <r>
      <t>Pond Out 
Q (ft</t>
    </r>
    <r>
      <rPr>
        <vertAlign val="superscript"/>
        <sz val="8"/>
        <color theme="1"/>
        <rFont val="Calibri"/>
        <family val="2"/>
      </rPr>
      <t>3</t>
    </r>
    <r>
      <rPr>
        <sz val="10"/>
        <color theme="1"/>
        <rFont val="Calibri"/>
        <family val="2"/>
        <scheme val="minor"/>
      </rPr>
      <t>/s)</t>
    </r>
  </si>
  <si>
    <t>Max Stage
(ft)</t>
  </si>
  <si>
    <r>
      <t>Total Post 
Q (ft</t>
    </r>
    <r>
      <rPr>
        <vertAlign val="superscript"/>
        <sz val="8"/>
        <color theme="1"/>
        <rFont val="Calibri"/>
        <family val="2"/>
      </rPr>
      <t>3</t>
    </r>
    <r>
      <rPr>
        <sz val="10"/>
        <color theme="1"/>
        <rFont val="Calibri"/>
        <family val="2"/>
        <scheme val="minor"/>
      </rPr>
      <t>/s)</t>
    </r>
  </si>
  <si>
    <t>Type</t>
  </si>
  <si>
    <t>Enter data as applicable for the proposed design.</t>
  </si>
  <si>
    <t>General Instructions</t>
  </si>
  <si>
    <t>Field Types</t>
  </si>
  <si>
    <t>Supplemental Instructions</t>
  </si>
  <si>
    <t>Use the drop down list to select a shape.</t>
  </si>
  <si>
    <t>Riprap</t>
  </si>
  <si>
    <t>Earthen</t>
  </si>
  <si>
    <t>Geotextile</t>
  </si>
  <si>
    <t>Total Post Q &gt; Pre Q</t>
  </si>
  <si>
    <t>Max Stage</t>
  </si>
  <si>
    <t>Total Post</t>
  </si>
  <si>
    <t>Post Total not completed</t>
  </si>
  <si>
    <t>Length</t>
  </si>
  <si>
    <t>Crest</t>
  </si>
  <si>
    <t>Top</t>
  </si>
  <si>
    <t>E. Spillway</t>
  </si>
  <si>
    <t>Design Response</t>
  </si>
  <si>
    <t>Emergency Spillway Section not completed</t>
  </si>
  <si>
    <t>Max Stage:</t>
  </si>
  <si>
    <t>Automated Review Checks</t>
  </si>
  <si>
    <t>Form Section</t>
  </si>
  <si>
    <t>Comments</t>
  </si>
  <si>
    <t>Pre-Development:</t>
  </si>
  <si>
    <t>Post-Development:</t>
  </si>
  <si>
    <t>Emergency Spillway:</t>
  </si>
  <si>
    <t>Pond Discharge Summary:</t>
  </si>
  <si>
    <t>Total Post Q:</t>
  </si>
  <si>
    <t>Photographs, at a minimum, shall include the following:</t>
  </si>
  <si>
    <t>The developer / owner shall retain the services of a professional land surveyor to:</t>
  </si>
  <si>
    <t>Develop an as-built drawing.</t>
  </si>
  <si>
    <t>a.</t>
  </si>
  <si>
    <t>b.</t>
  </si>
  <si>
    <t>The developer shall retain the services of a professional engineer to:</t>
  </si>
  <si>
    <t>Photographs</t>
  </si>
  <si>
    <t>Storm sewers showing pipes, inlets, junction boxes, outlets, outlet protection, and invert elevations</t>
  </si>
  <si>
    <t>Detail of emergency spillway showing elevations and dimensions</t>
  </si>
  <si>
    <t xml:space="preserve">General overview of the detention pond </t>
  </si>
  <si>
    <t>Outlet pipe discharge location and outlet protection</t>
  </si>
  <si>
    <t>Emergency spillway and discharge location</t>
  </si>
  <si>
    <t>Pipes that discharge into the detention pond</t>
  </si>
  <si>
    <t>Location where detention pond discharges into receiving stream, culvert, or channel</t>
  </si>
  <si>
    <t>Prior to approval of the Final Plat.</t>
  </si>
  <si>
    <t>Provide ALL required attachments:</t>
  </si>
  <si>
    <t>The issuance of a Certificate of Occupancy; and/or,</t>
  </si>
  <si>
    <t>e.</t>
  </si>
  <si>
    <t>c.</t>
  </si>
  <si>
    <t>d.</t>
  </si>
  <si>
    <t>f.</t>
  </si>
  <si>
    <t>•</t>
  </si>
  <si>
    <t>Use the as-built survey data to complete Form 3A – Detention Pond As-built Certification Form;</t>
  </si>
  <si>
    <t>Outfall Location:</t>
  </si>
  <si>
    <t>Latitude and/or Longitude not provided</t>
  </si>
  <si>
    <t xml:space="preserve">This is a calculated field.  Once the required information is entered, the orange highlight will be removed. </t>
  </si>
  <si>
    <t>Use the drop down list to select a material.</t>
  </si>
  <si>
    <t>General design standards and requirements shall be as follows:</t>
  </si>
  <si>
    <t xml:space="preserve"> As-built Survey</t>
  </si>
  <si>
    <t xml:space="preserve"> As-built H&amp;H Calculations</t>
  </si>
  <si>
    <t xml:space="preserve"> O&amp;M Agreement</t>
  </si>
  <si>
    <t>Attachments:</t>
  </si>
  <si>
    <t xml:space="preserve"> Photos</t>
  </si>
  <si>
    <t xml:space="preserve"> Yes</t>
  </si>
  <si>
    <t xml:space="preserve"> No</t>
  </si>
  <si>
    <r>
      <t>Pre Q
(ft</t>
    </r>
    <r>
      <rPr>
        <vertAlign val="superscript"/>
        <sz val="9"/>
        <color theme="1"/>
        <rFont val="Calibri"/>
        <family val="2"/>
      </rPr>
      <t>3</t>
    </r>
    <r>
      <rPr>
        <sz val="9"/>
        <color theme="1"/>
        <rFont val="Calibri"/>
        <family val="2"/>
        <scheme val="minor"/>
      </rPr>
      <t>/s)</t>
    </r>
  </si>
  <si>
    <r>
      <t>Pond In Q
(ft</t>
    </r>
    <r>
      <rPr>
        <vertAlign val="superscript"/>
        <sz val="9"/>
        <color theme="1"/>
        <rFont val="Calibri"/>
        <family val="2"/>
      </rPr>
      <t>3</t>
    </r>
    <r>
      <rPr>
        <sz val="9"/>
        <color theme="1"/>
        <rFont val="Calibri"/>
        <family val="2"/>
        <scheme val="minor"/>
      </rPr>
      <t>/s)</t>
    </r>
  </si>
  <si>
    <r>
      <t>Pond Out 
Q (ft</t>
    </r>
    <r>
      <rPr>
        <vertAlign val="superscript"/>
        <sz val="9"/>
        <color theme="1"/>
        <rFont val="Calibri"/>
        <family val="2"/>
      </rPr>
      <t>3</t>
    </r>
    <r>
      <rPr>
        <sz val="9"/>
        <color theme="1"/>
        <rFont val="Calibri"/>
        <family val="2"/>
        <scheme val="minor"/>
      </rPr>
      <t>/s)</t>
    </r>
  </si>
  <si>
    <r>
      <t>Total Post 
Q (ft</t>
    </r>
    <r>
      <rPr>
        <vertAlign val="superscript"/>
        <sz val="9"/>
        <color theme="1"/>
        <rFont val="Calibri"/>
        <family val="2"/>
      </rPr>
      <t>3</t>
    </r>
    <r>
      <rPr>
        <sz val="9"/>
        <color theme="1"/>
        <rFont val="Calibri"/>
        <family val="2"/>
        <scheme val="minor"/>
      </rPr>
      <t>/s)</t>
    </r>
  </si>
  <si>
    <t xml:space="preserve"> Design Drawings</t>
  </si>
  <si>
    <t xml:space="preserve"> H&amp;H Calculations</t>
  </si>
  <si>
    <t xml:space="preserve"> Drainage Basin Maps</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</si>
  <si>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</si>
  <si>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</si>
  <si>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</si>
  <si>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</si>
  <si>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</si>
  <si>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</si>
  <si>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</si>
  <si>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</si>
  <si>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</si>
  <si>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</si>
  <si>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 xml:space="preserve">Detail Attached: </t>
  </si>
  <si>
    <t>No</t>
  </si>
  <si>
    <t>Lat</t>
  </si>
  <si>
    <t>Long</t>
  </si>
  <si>
    <t>Lat &amp; Long</t>
  </si>
  <si>
    <r>
      <t>WQ</t>
    </r>
    <r>
      <rPr>
        <vertAlign val="subscript"/>
        <sz val="10"/>
        <color theme="1"/>
        <rFont val="Calibri"/>
        <family val="2"/>
        <scheme val="minor"/>
      </rPr>
      <t>v</t>
    </r>
    <r>
      <rPr>
        <sz val="10"/>
        <color theme="1"/>
        <rFont val="Calibri"/>
        <family val="2"/>
        <scheme val="minor"/>
      </rPr>
      <t>:</t>
    </r>
  </si>
  <si>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</si>
  <si>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WQv</t>
  </si>
  <si>
    <t>Pre Q</t>
  </si>
  <si>
    <t>Pond In Q</t>
  </si>
  <si>
    <t>Pre Q:</t>
  </si>
  <si>
    <t>Pond In Q:</t>
  </si>
  <si>
    <t>Montgomery</t>
  </si>
  <si>
    <t>Hoover</t>
  </si>
  <si>
    <t>Prattville</t>
  </si>
  <si>
    <t>Mobile</t>
  </si>
  <si>
    <t xml:space="preserve">Select City: </t>
  </si>
  <si>
    <t xml:space="preserve"> Photographs</t>
  </si>
  <si>
    <t>Development Information:</t>
  </si>
  <si>
    <t xml:space="preserve">Date: </t>
  </si>
  <si>
    <t xml:space="preserve">BMP ID: </t>
  </si>
  <si>
    <t xml:space="preserve">Latitude: </t>
  </si>
  <si>
    <t xml:space="preserve">Longitude: </t>
  </si>
  <si>
    <t>Yes</t>
  </si>
  <si>
    <t xml:space="preserve">Company: </t>
  </si>
  <si>
    <t xml:space="preserve">Signature: </t>
  </si>
  <si>
    <t>Select either "Yes" or "No" by placing an "X" in the appropriate box.  Once an "X" is entered, the green highlight will be removed.</t>
  </si>
  <si>
    <t>The Supplemental Instructions provide additional guidance and design standards.</t>
  </si>
  <si>
    <t>Once the Design, As-built, or Inspection Forms are completed, there should be no green, yellow, or orange highlighted fields.</t>
  </si>
  <si>
    <t>Automated Review Checks:  Once information and data are entered into the form, the form will check the information entered and identify any potential issues or concerns.  Prior to printing the form, all automated comments shall be resolved.</t>
  </si>
  <si>
    <t>Round</t>
  </si>
  <si>
    <t>Rectangle</t>
  </si>
  <si>
    <t>Square</t>
  </si>
  <si>
    <t>Trapezoid</t>
  </si>
  <si>
    <t>Jefferson</t>
  </si>
  <si>
    <t>Velocity
(ft/s)</t>
  </si>
  <si>
    <t>Velocity:</t>
  </si>
  <si>
    <t>City</t>
  </si>
  <si>
    <t>County</t>
  </si>
  <si>
    <t>Type:</t>
  </si>
  <si>
    <t>1 July 2018</t>
  </si>
  <si>
    <t>1 October 2015</t>
  </si>
  <si>
    <t>1 October 2020</t>
  </si>
  <si>
    <t>1 February 2020</t>
  </si>
  <si>
    <t>Effective Date:</t>
  </si>
  <si>
    <t>By affixing my professional seal and signature on this form, I hereby certify that the detention pond:</t>
  </si>
  <si>
    <t>Provides the required water quality volume (WQv);</t>
  </si>
  <si>
    <t>Drainage areas shown in the hydrology and hydraulic (H&amp;H) calculations drain into the detention pond; and,</t>
  </si>
  <si>
    <t xml:space="preserve">Post-development runoff mimics pre-development hydrology to the maximum extent practicable (MEP). </t>
  </si>
  <si>
    <t>Entity Type:</t>
  </si>
  <si>
    <t>Maintenance Agreement:</t>
  </si>
  <si>
    <t xml:space="preserve"> Covenant</t>
  </si>
  <si>
    <t>By affixing my professional seal and signature on this form, I hereby certify that the detention pond has been constructed in accordance with the approved design.  I further certify that the drainage areas shown in the approved hydrology and hydraulic (H&amp;H) calculations do in fact drain into the detention pond and that the post-development runoff mimics pre-development hydrology to the maximum extent practicable (MEP).</t>
  </si>
  <si>
    <t>Perform a field survey of the constructed detention pond; and,</t>
  </si>
  <si>
    <t xml:space="preserve"> As-Built Survey Drawing(s)</t>
  </si>
  <si>
    <t>Velocity</t>
  </si>
  <si>
    <t>Home Owners Association (HOA) Information</t>
  </si>
  <si>
    <t>Printing the form may require some adjustments to the print settings for the printer being used.</t>
  </si>
  <si>
    <t>The calculation methodology shall utilize the National Resource Conservation Resources (NRCS) Urban</t>
  </si>
  <si>
    <t>All applicable developments shall be responsible for ensuring that post-development hydrology mimics</t>
  </si>
  <si>
    <t>outlet pipe, WQ filter, etc.</t>
  </si>
  <si>
    <r>
      <t>Filtration system for the WQ</t>
    </r>
    <r>
      <rPr>
        <vertAlign val="subscript"/>
        <sz val="10"/>
        <color theme="1"/>
        <rFont val="Calibri"/>
        <family val="2"/>
        <scheme val="minor"/>
      </rPr>
      <t>v</t>
    </r>
    <r>
      <rPr>
        <sz val="10"/>
        <color theme="1"/>
        <rFont val="Calibri"/>
        <family val="2"/>
        <scheme val="minor"/>
      </rPr>
      <t xml:space="preserve"> Orifice shall allow the volume of stormwater associated with the WQ</t>
    </r>
    <r>
      <rPr>
        <vertAlign val="subscript"/>
        <sz val="10"/>
        <color theme="1"/>
        <rFont val="Calibri"/>
        <family val="2"/>
        <scheme val="minor"/>
      </rPr>
      <t>v</t>
    </r>
    <r>
      <rPr>
        <sz val="10"/>
        <color theme="1"/>
        <rFont val="Calibri"/>
        <family val="2"/>
        <scheme val="minor"/>
      </rPr>
      <t xml:space="preserve"> to</t>
    </r>
  </si>
  <si>
    <t>Current Logo</t>
  </si>
  <si>
    <t>If a field is highlighted yellow after a number is entered, the yellow highlight may indicate an error and/or concern.  Once the error and/or concern is resolved, the yellow highlight will be removed.  All yellow highlighted cells shall be resolved or an explanation provided prior to completing the form.</t>
  </si>
  <si>
    <t>Max Elev.
(ft)</t>
  </si>
  <si>
    <t>Freeboard  &lt;  1.0 ft</t>
  </si>
  <si>
    <t>Emergency Spillway Freeboard:</t>
  </si>
  <si>
    <t xml:space="preserve">City: </t>
  </si>
  <si>
    <t>This is a required field.  Once a number or text is entered, the green highlight will be removed.</t>
  </si>
  <si>
    <t xml:space="preserve">Total Area: </t>
  </si>
  <si>
    <t xml:space="preserve">Buildings / Structures: </t>
  </si>
  <si>
    <t xml:space="preserve">Driveways / Sidewalks: </t>
  </si>
  <si>
    <t xml:space="preserve">Roads: </t>
  </si>
  <si>
    <t xml:space="preserve">Parking: </t>
  </si>
  <si>
    <t xml:space="preserve">Other: </t>
  </si>
  <si>
    <t xml:space="preserve">Total PIA: </t>
  </si>
  <si>
    <t xml:space="preserve">Existing Impervious Area (EIA): </t>
  </si>
  <si>
    <t xml:space="preserve">AIA = </t>
  </si>
  <si>
    <t xml:space="preserve">Material: </t>
  </si>
  <si>
    <t xml:space="preserve">Diameter: </t>
  </si>
  <si>
    <t xml:space="preserve">Width: </t>
  </si>
  <si>
    <t xml:space="preserve">Bottom EL.: </t>
  </si>
  <si>
    <t xml:space="preserve">Trash Rack: </t>
  </si>
  <si>
    <t xml:space="preserve">Shape: </t>
  </si>
  <si>
    <t xml:space="preserve">Length: </t>
  </si>
  <si>
    <t xml:space="preserve">Top EL.: </t>
  </si>
  <si>
    <t xml:space="preserve">Select: </t>
  </si>
  <si>
    <t xml:space="preserve">Orifice: </t>
  </si>
  <si>
    <t xml:space="preserve">None: </t>
  </si>
  <si>
    <t xml:space="preserve">Crest EL.: </t>
  </si>
  <si>
    <t xml:space="preserve">Pond Top EL.: </t>
  </si>
  <si>
    <r>
      <t>WQ</t>
    </r>
    <r>
      <rPr>
        <vertAlign val="subscript"/>
        <sz val="15"/>
        <color theme="1"/>
        <rFont val="Calibri"/>
        <family val="2"/>
      </rPr>
      <t>v</t>
    </r>
    <r>
      <rPr>
        <sz val="10"/>
        <color theme="1"/>
        <rFont val="Calibri"/>
        <family val="2"/>
        <scheme val="minor"/>
      </rPr>
      <t xml:space="preserve"> Required: </t>
    </r>
  </si>
  <si>
    <r>
      <t>WQ</t>
    </r>
    <r>
      <rPr>
        <vertAlign val="subscript"/>
        <sz val="15"/>
        <color theme="1"/>
        <rFont val="Calibri"/>
        <family val="2"/>
      </rPr>
      <t>v</t>
    </r>
    <r>
      <rPr>
        <sz val="10"/>
        <color theme="1"/>
        <rFont val="Calibri"/>
        <family val="2"/>
        <scheme val="minor"/>
      </rPr>
      <t xml:space="preserve"> Provided: </t>
    </r>
  </si>
  <si>
    <t xml:space="preserve">Seal: </t>
  </si>
  <si>
    <t xml:space="preserve">Outlet Pipe: </t>
  </si>
  <si>
    <t xml:space="preserve">WQv Orifice: </t>
  </si>
  <si>
    <t>Comments?</t>
  </si>
  <si>
    <t>EL:</t>
  </si>
  <si>
    <t>Pond Top EL:</t>
  </si>
  <si>
    <t>Crest EL:</t>
  </si>
  <si>
    <t>Pre Total not completed</t>
  </si>
  <si>
    <t>V-notch</t>
  </si>
  <si>
    <t>Permit Type:</t>
  </si>
  <si>
    <t>Max Velocity:</t>
  </si>
  <si>
    <t>Max Velocity</t>
  </si>
  <si>
    <t>Dia./Width/Deg</t>
  </si>
  <si>
    <t>Height</t>
  </si>
  <si>
    <t>Lookup Table</t>
  </si>
  <si>
    <t>Engineering or Building No.</t>
  </si>
  <si>
    <t>Post &lt; 0.5</t>
  </si>
  <si>
    <t xml:space="preserve">Weir: </t>
  </si>
  <si>
    <t>Use the drop down list to select an orifice or weir.</t>
  </si>
  <si>
    <t>Complete Design Form with the required design information.  Once the Design Form is completed, most of the Design section of the As-built Form will be prepopulated.</t>
  </si>
  <si>
    <t>Date</t>
  </si>
  <si>
    <t>No. Taken</t>
  </si>
  <si>
    <t>Page 4 of 4</t>
  </si>
  <si>
    <t>Page 3 of 4</t>
  </si>
  <si>
    <t>Page 2 of 4</t>
  </si>
  <si>
    <t>Page 1 of 4</t>
  </si>
  <si>
    <t xml:space="preserve">Contact Name: </t>
  </si>
  <si>
    <t>This is a required field.  Place an "X" in the appropriate box and the green highlight will be removed.  In some cases, the selection is optional.  Once an option is completed, additional fields may be highlighted green and in some fields the green highlight will be removed.</t>
  </si>
  <si>
    <t>Drainage basin maps shall show:</t>
  </si>
  <si>
    <t>Drainage basins included with the H&amp;H study</t>
  </si>
  <si>
    <t xml:space="preserve">Pathways used for calculating Time of Concentration (Tc) </t>
  </si>
  <si>
    <t>Adjacent properties and site features where stormwater will be discharged from the proposed development</t>
  </si>
  <si>
    <t>Provide a drainage basin map for proposed conditions</t>
  </si>
  <si>
    <t>Provide a drainage basin map for existing conditions</t>
  </si>
  <si>
    <t>Contours with adequate contour lables</t>
  </si>
  <si>
    <t>Structures, roads, storm sewer, utilities, drainage easements and other site features</t>
  </si>
  <si>
    <t>g.</t>
  </si>
  <si>
    <t>h.</t>
  </si>
  <si>
    <t>ENG No.</t>
  </si>
  <si>
    <t>Inspe Report Due:</t>
  </si>
  <si>
    <t>30 Septbember</t>
  </si>
  <si>
    <t>1 September</t>
  </si>
  <si>
    <t>emergency spillway, and outlet protection</t>
  </si>
  <si>
    <t>Detail of the outlet control structure showing elevations and dimensions of multi-stage riser, orifices, weirs,</t>
  </si>
  <si>
    <t>Outlet control structure showing multi-stage riser, orifices, weirs, outlet pipe, and WQ filter</t>
  </si>
  <si>
    <t>Storm sewer pipes discharging into detention pond</t>
  </si>
  <si>
    <t>General overview</t>
  </si>
  <si>
    <t>Outfall to receiving stream / storm sewer</t>
  </si>
  <si>
    <t>If a detention pond encroaches on a floodplain, provide documentaiton showing that all floodplain</t>
  </si>
  <si>
    <t>A stormwater pathway (i.e. piped storm sewer, overland flow, etc.) within the development shall</t>
  </si>
  <si>
    <t>A detention pond shall provide for an emergency spillway designed to convey the discharge resulting from</t>
  </si>
  <si>
    <t xml:space="preserve">WQ Filter: </t>
  </si>
  <si>
    <t>Site features to include but not limited to roads, rights-of-way, property lines, driveways, buildings, parking</t>
  </si>
  <si>
    <t>areas, fences, retaining walls, dumpster pads, etc.</t>
  </si>
  <si>
    <t>Location of the detention pond, contours, contour labels, spot elevations, outlet control structure, outlet pipe,</t>
  </si>
  <si>
    <t>Arch</t>
  </si>
  <si>
    <t>Elliptical</t>
  </si>
  <si>
    <t>(50-yr)</t>
  </si>
  <si>
    <t>Storms:</t>
  </si>
  <si>
    <t>Insp Report Due:</t>
  </si>
  <si>
    <t>2, 5, 10, 25, 50, and 100</t>
  </si>
  <si>
    <r>
      <t>Total Post Q is &lt; -0.50 ft</t>
    </r>
    <r>
      <rPr>
        <vertAlign val="superscript"/>
        <sz val="10.8"/>
        <color theme="1"/>
        <rFont val="Calibri"/>
        <family val="2"/>
      </rPr>
      <t>3</t>
    </r>
    <r>
      <rPr>
        <sz val="11"/>
        <color theme="1"/>
        <rFont val="Calibri"/>
        <family val="2"/>
        <scheme val="minor"/>
      </rPr>
      <t>/s of Pre Q</t>
    </r>
  </si>
  <si>
    <t>Installation of a detention pond shall not adversely impact and/or cause flooding of</t>
  </si>
  <si>
    <t>No. Storms</t>
  </si>
  <si>
    <t>Property boundaries</t>
  </si>
  <si>
    <t xml:space="preserve">Select Units: </t>
  </si>
  <si>
    <t xml:space="preserve"> ac</t>
  </si>
  <si>
    <t xml:space="preserve"> sq-ft</t>
  </si>
  <si>
    <t>%</t>
  </si>
  <si>
    <t>Imp. Area</t>
  </si>
  <si>
    <t>Page 1 of 2</t>
  </si>
  <si>
    <t>Page 2 of 2</t>
  </si>
  <si>
    <t>Slope</t>
  </si>
  <si>
    <t>Flooding</t>
  </si>
  <si>
    <t xml:space="preserve">Select Development Type: </t>
  </si>
  <si>
    <t xml:space="preserve"> Residential</t>
  </si>
  <si>
    <t xml:space="preserve"> Commercial</t>
  </si>
  <si>
    <t xml:space="preserve">Attachments: </t>
  </si>
  <si>
    <t>Will all Phases or Lots be a member of the association?</t>
  </si>
  <si>
    <t>Is the detention pond located on a separate lot?</t>
  </si>
  <si>
    <t xml:space="preserve">Total: </t>
  </si>
  <si>
    <t xml:space="preserve"> Final Plat</t>
  </si>
  <si>
    <t xml:space="preserve">Number of Phases: </t>
  </si>
  <si>
    <t xml:space="preserve">Number of Lots: </t>
  </si>
  <si>
    <t xml:space="preserve">   Discharges to Pond?</t>
  </si>
  <si>
    <t>Form 2A.1 - Detention Pond
Design Form</t>
  </si>
  <si>
    <t>Form 2A.2 - Detention Pond
Design Attachment Form</t>
  </si>
  <si>
    <t>The Master Plan shall include the following information:</t>
  </si>
  <si>
    <t>Conceptual lot layout by use type (i.e. residential, commercial, open space, etc.)</t>
  </si>
  <si>
    <t>Proposed roads</t>
  </si>
  <si>
    <t>Location of detention pond</t>
  </si>
  <si>
    <r>
      <t>Peak Discharge (ft</t>
    </r>
    <r>
      <rPr>
        <vertAlign val="superscript"/>
        <sz val="8"/>
        <color theme="1"/>
        <rFont val="Calibri"/>
        <family val="2"/>
      </rPr>
      <t>3</t>
    </r>
    <r>
      <rPr>
        <sz val="10"/>
        <color theme="1"/>
        <rFont val="Calibri"/>
        <family val="2"/>
        <scheme val="minor"/>
      </rPr>
      <t>/s)</t>
    </r>
  </si>
  <si>
    <t xml:space="preserve">Hydrologic Soil Group: </t>
  </si>
  <si>
    <t xml:space="preserve"> A</t>
  </si>
  <si>
    <t xml:space="preserve"> B</t>
  </si>
  <si>
    <t xml:space="preserve"> C</t>
  </si>
  <si>
    <t xml:space="preserve"> D</t>
  </si>
  <si>
    <t>Form 2A.2 - Detention Pond Design Form Attachment is attached?</t>
  </si>
  <si>
    <t>Design Questions</t>
  </si>
  <si>
    <t>Will future development phases discharge into the detention pond?  Complete Form 2A.2.</t>
  </si>
  <si>
    <t>Will the detention pond be maintained by an association?</t>
  </si>
  <si>
    <t>to accommodate the Phases and/or Lots included in this attachment.</t>
  </si>
  <si>
    <t>By affixing my professional seal and signature on this form, I hereby certify that the proposed detention pond was designed</t>
  </si>
  <si>
    <t>Known Flooding Req:</t>
  </si>
  <si>
    <t>No. Storms:</t>
  </si>
  <si>
    <t>Total</t>
  </si>
  <si>
    <t>Does the project drain to an area of known flooding?</t>
  </si>
  <si>
    <t xml:space="preserve">Does the project drain onto an adjacent property? </t>
  </si>
  <si>
    <t>Adj. Property</t>
  </si>
  <si>
    <t xml:space="preserve">Design Form Date: </t>
  </si>
  <si>
    <t>Property boundary</t>
  </si>
  <si>
    <t>Caption, date, and/or description on all photographs?</t>
  </si>
  <si>
    <t>31 December</t>
  </si>
  <si>
    <t>Outlet control structure diagram is provided for information only.</t>
  </si>
  <si>
    <t>Caption identifying the date, location, and description of the photograph</t>
  </si>
  <si>
    <t>Photographs:</t>
  </si>
  <si>
    <t>All required photographs are not provided</t>
  </si>
  <si>
    <t>Outlet control structure &amp; WQv filter</t>
  </si>
  <si>
    <t>T-shape</t>
  </si>
  <si>
    <t>Discharge Summary</t>
  </si>
  <si>
    <t>Stage-Area-Storage Summary</t>
  </si>
  <si>
    <t>Proposed</t>
  </si>
  <si>
    <t>Existing</t>
  </si>
  <si>
    <t>2.</t>
  </si>
  <si>
    <t>If a phase or lot has already been constructed, enter the amount of impervious area in the Existing Imp. Area column.</t>
  </si>
  <si>
    <t>Property</t>
  </si>
  <si>
    <t>Known Flooding Storm:</t>
  </si>
  <si>
    <t>Adj Property Req:</t>
  </si>
  <si>
    <t>Adj Property Storm:</t>
  </si>
  <si>
    <t>Storm</t>
  </si>
  <si>
    <t>Req?</t>
  </si>
  <si>
    <t>Q Lookup</t>
  </si>
  <si>
    <t>Pre Q Lookup Table</t>
  </si>
  <si>
    <t xml:space="preserve">Select Area Units: </t>
  </si>
  <si>
    <t xml:space="preserve">EIA = </t>
  </si>
  <si>
    <t>ac</t>
  </si>
  <si>
    <t xml:space="preserve">PIA = </t>
  </si>
  <si>
    <t>Units Check</t>
  </si>
  <si>
    <t>AIA =</t>
  </si>
  <si>
    <t xml:space="preserve">Drainage Area </t>
  </si>
  <si>
    <t>OCS</t>
  </si>
  <si>
    <t>ES</t>
  </si>
  <si>
    <t>Emergency Spillway (ES)</t>
  </si>
  <si>
    <t>Outlet Control Structure (OCS)</t>
  </si>
  <si>
    <t>a 100-year, 24-hour storm event.  A minimum, freeboard of 1-foot above the maximum stage anticipated</t>
  </si>
  <si>
    <t>be provided to convey the discharge resulting from a 100-year, 24-hour storm event in a manner that will not</t>
  </si>
  <si>
    <t>Lat Text</t>
  </si>
  <si>
    <t>Long Text</t>
  </si>
  <si>
    <t>Latitude and/or Longitude has been entered as text.  Change to a number.</t>
  </si>
  <si>
    <t xml:space="preserve">Parcel No.: </t>
  </si>
  <si>
    <t xml:space="preserve">network, existing drainage areas, proposed drainage areas, time of concentration, curve number, pre-development </t>
  </si>
  <si>
    <t xml:space="preserve">peak discharges, post-development peak discharges, outlet structure geometry, emergency spillway geometry, </t>
  </si>
  <si>
    <t xml:space="preserve">H&amp;H calculations shall include all the information required to validate information provided on this form i.e. model </t>
  </si>
  <si>
    <t xml:space="preserve"> Master Plan Drawing</t>
  </si>
  <si>
    <t>Master Plan drawing shall include the following:</t>
  </si>
  <si>
    <t>Conceptual lot layout</t>
  </si>
  <si>
    <t>The boundary and designation of each phase and/or lot</t>
  </si>
  <si>
    <t>Contours with adequate contour labels</t>
  </si>
  <si>
    <t>Existing structures, roads, storm sewers, stormwater management facilities, etc.</t>
  </si>
  <si>
    <t>Supporting calculations for proposed and existing impervious areas</t>
  </si>
  <si>
    <t>ES Velocity
(ft/s)</t>
  </si>
  <si>
    <t>OCS Velocity
(ft/s)</t>
  </si>
  <si>
    <t>Parcel No.:</t>
  </si>
  <si>
    <t>Parcel No. has not been provided</t>
  </si>
  <si>
    <t>Is there an adequate easement or access road to the detention pond for inspection and maintenance?</t>
  </si>
  <si>
    <t>Spillage agreement</t>
  </si>
  <si>
    <t>The as-built drawing shall bear the date, seal, and signature of the professional land surveyor.</t>
  </si>
  <si>
    <t>As-built drawing, at a minimum, shall include the following:</t>
  </si>
  <si>
    <t>development;</t>
  </si>
  <si>
    <t>Will not adversely impact and/or cause flooding of structures within, upstream, and/or downstream of the</t>
  </si>
  <si>
    <t>If a proposed development discharges onto an adjacent property, the proposed development shall:</t>
  </si>
  <si>
    <t>Agreement Type:</t>
  </si>
  <si>
    <t>Known Flooding Storm &lt;:</t>
  </si>
  <si>
    <t>Adj Property Storm&lt;:</t>
  </si>
  <si>
    <t>5, 10, 25, 50, and 100</t>
  </si>
  <si>
    <t>10, 25, 50, and 100</t>
  </si>
  <si>
    <t>25, 50, and 100</t>
  </si>
  <si>
    <t>50 and 100</t>
  </si>
  <si>
    <t>Known or Adj Storm</t>
  </si>
  <si>
    <t>Requirements</t>
  </si>
  <si>
    <t>Known or Adj Design Storm:</t>
  </si>
  <si>
    <t>Design Storm</t>
  </si>
  <si>
    <t>Known or Adj Design Storm&lt;:</t>
  </si>
  <si>
    <t>Question</t>
  </si>
  <si>
    <t>Will the detention pond discharge to a channel?</t>
  </si>
  <si>
    <t>Will the detention pond discharge to an area of sheet flow?</t>
  </si>
  <si>
    <t>Will a level spreader be used?</t>
  </si>
  <si>
    <t>Outlet Protection</t>
  </si>
  <si>
    <t xml:space="preserve">Depth: </t>
  </si>
  <si>
    <t xml:space="preserve">Type: </t>
  </si>
  <si>
    <t>Riprap apron</t>
  </si>
  <si>
    <t>Concrete flume with baffles</t>
  </si>
  <si>
    <t>Concrete box with chambers</t>
  </si>
  <si>
    <t>Concrete box with baffles</t>
  </si>
  <si>
    <t>Pre-manufactured product</t>
  </si>
  <si>
    <t xml:space="preserve">Geotextile: </t>
  </si>
  <si>
    <t>Max Stage for 2, 5, 10, 25 and/or 50-year storm  &gt; emergency spillway crest elevation</t>
  </si>
  <si>
    <t>Outlet Protection:</t>
  </si>
  <si>
    <t>Outlet protection section not completed</t>
  </si>
  <si>
    <t xml:space="preserve">Detention pond bottom slope: </t>
  </si>
  <si>
    <t>management requirements have been met</t>
  </si>
  <si>
    <t>A detention pond shall not be constructed within the floodway</t>
  </si>
  <si>
    <t>properties located within, upstream, and/or downstream of the development</t>
  </si>
  <si>
    <t>adversely impact and/or cause flooding of structures within the development</t>
  </si>
  <si>
    <t>drain slowly from the detention pond within a 48-hour period</t>
  </si>
  <si>
    <t>in the detention pond or above the crest elevation of the emergency spillway</t>
  </si>
  <si>
    <t>pond stage-area storage summary, pond discharge summary, inflow and outflow hydrographs, and outlet  velocities</t>
  </si>
  <si>
    <t>Rainfall depths were obtained from NOAA Atlas 14, Volume 9, Version 2</t>
  </si>
  <si>
    <t>Post-development discharges shall be less than pre-development discharges at all discharge locations</t>
  </si>
  <si>
    <t>Pond Bottom Slope:</t>
  </si>
  <si>
    <t xml:space="preserve">Fence: </t>
  </si>
  <si>
    <t xml:space="preserve">Access Road: </t>
  </si>
  <si>
    <t>The intent of this form is to document the phases of development that will utilize the detention pond</t>
  </si>
  <si>
    <t>Detention pond outfall &amp; outlet protection</t>
  </si>
  <si>
    <t>Emergency spillway and embankment</t>
  </si>
  <si>
    <t>Baldwin County</t>
  </si>
  <si>
    <t xml:space="preserve">Effective Date: </t>
  </si>
  <si>
    <t xml:space="preserve">IMPORTANT - READ BEFORE USE: </t>
  </si>
  <si>
    <t xml:space="preserve">Acceptance (required): </t>
  </si>
  <si>
    <t>I ACCEPT</t>
  </si>
  <si>
    <t>I DO NOT ACCEPT</t>
  </si>
  <si>
    <t>Acceptance Table</t>
  </si>
  <si>
    <t>Selection Required</t>
  </si>
  <si>
    <t xml:space="preserve">Administrator Code (Hidden): </t>
  </si>
  <si>
    <t xml:space="preserve">Current Status: </t>
  </si>
  <si>
    <t xml:space="preserve">Gate OK: </t>
  </si>
  <si>
    <t xml:space="preserve">Accepted Flag: </t>
  </si>
  <si>
    <t xml:space="preserve">Admin Unlock Code: </t>
  </si>
  <si>
    <t>Workbook Lock Configuration</t>
  </si>
  <si>
    <t>Version Date:</t>
  </si>
  <si>
    <t xml:space="preserve">Active Months: </t>
  </si>
  <si>
    <t xml:space="preserve">Lock Date: </t>
  </si>
  <si>
    <t xml:space="preserve">Expiration Date: </t>
  </si>
  <si>
    <t xml:space="preserve">Override LockD and Time: </t>
  </si>
  <si>
    <t xml:space="preserve">Computed Lock Date and Time: </t>
  </si>
  <si>
    <t>Slope:</t>
  </si>
  <si>
    <t>Entity:</t>
  </si>
  <si>
    <t>the City of Hoover</t>
  </si>
  <si>
    <t>Jefferson County</t>
  </si>
  <si>
    <t>the City of Mobile</t>
  </si>
  <si>
    <t>the City of Montgomery</t>
  </si>
  <si>
    <t>the City of Prattville</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</si>
  <si>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</si>
  <si>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</si>
  <si>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</si>
  <si>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</si>
  <si>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</si>
  <si>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</si>
  <si>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</si>
  <si>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</si>
  <si>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</si>
  <si>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</si>
  <si>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</si>
  <si>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</si>
  <si>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</si>
  <si>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bds958hc</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</si>
  <si>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</si>
  <si>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</si>
  <si>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special, consequential, or punitive damages.</t>
  </si>
  <si>
    <t>As-Built does not match Design, provide a reason in the Comments section</t>
  </si>
  <si>
    <t>Level Spreader design documentation is attached.</t>
  </si>
  <si>
    <t>Phase ID</t>
  </si>
  <si>
    <t>-yr</t>
  </si>
  <si>
    <t>Provide the velocity at the end of any velocity dissipation device for the outlet control structure (OCS) and the</t>
  </si>
  <si>
    <t>emergency spillway (ES)</t>
  </si>
  <si>
    <t>This form is for all phases associated with the BMP identified on the form</t>
  </si>
  <si>
    <t xml:space="preserve"> O&amp;M Plan</t>
  </si>
  <si>
    <t>a Release Agreement</t>
  </si>
  <si>
    <t>Drainage Rights</t>
  </si>
  <si>
    <t>a Spillage Agreement</t>
  </si>
  <si>
    <t>OCS = Outlet Control Structure</t>
  </si>
  <si>
    <t>ES = Emergency Spillway</t>
  </si>
  <si>
    <t>END USER LICENSE AGREEMENT (EULA)</t>
  </si>
  <si>
    <t>authorized, do not use the Tool.</t>
  </si>
  <si>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</si>
  <si>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Limited License</t>
  </si>
  <si>
    <t>agreed in writing.</t>
  </si>
  <si>
    <t>notices, logos, or watermarks; (c) bypass or disable protections; or (d) redistribute the Tool to third parties (other than submitting filled</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</si>
  <si>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</si>
  <si>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</si>
  <si>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</si>
  <si>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</si>
  <si>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</si>
  <si>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r>
      <t>The Tool is provided "</t>
    </r>
    <r>
      <rPr>
        <b/>
        <sz val="12"/>
        <color theme="1"/>
        <rFont val="Calibri"/>
        <family val="2"/>
      </rPr>
      <t>AS IS</t>
    </r>
    <r>
      <rPr>
        <sz val="12"/>
        <color theme="1"/>
        <rFont val="Calibri"/>
        <family val="2"/>
        <scheme val="minor"/>
      </rPr>
      <t>".  Licensor disclaims all warranties, express or implied (including merchantability, fitness for a particular</t>
    </r>
  </si>
  <si>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</si>
  <si>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</si>
  <si>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</si>
  <si>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</si>
  <si>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</si>
  <si>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</si>
  <si>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</si>
  <si>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</si>
  <si>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</si>
  <si>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</si>
  <si>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</si>
  <si>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</si>
  <si>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t>the permitted purpose.</t>
  </si>
  <si>
    <t>purpose, and non-infringement.)  To the  Maximum extent permitted by law, Licensor will not be liable for indirect, incidental,</t>
  </si>
  <si>
    <r>
      <t>Pond In 
Q (ft</t>
    </r>
    <r>
      <rPr>
        <vertAlign val="superscript"/>
        <sz val="8"/>
        <color theme="1"/>
        <rFont val="Calibri"/>
        <family val="2"/>
      </rPr>
      <t>3</t>
    </r>
    <r>
      <rPr>
        <sz val="10"/>
        <color theme="1"/>
        <rFont val="Calibri"/>
        <family val="2"/>
        <scheme val="minor"/>
      </rPr>
      <t>/s)</t>
    </r>
  </si>
  <si>
    <r>
      <t>WQ</t>
    </r>
    <r>
      <rPr>
        <vertAlign val="subscript"/>
        <sz val="15"/>
        <color theme="1"/>
        <rFont val="Calibri"/>
        <family val="2"/>
      </rPr>
      <t>v</t>
    </r>
    <r>
      <rPr>
        <sz val="10"/>
        <color theme="1"/>
        <rFont val="Calibri"/>
        <family val="2"/>
        <scheme val="minor"/>
      </rPr>
      <t xml:space="preserve"> Elevation: </t>
    </r>
  </si>
  <si>
    <t>Have low impact development (LID) / green infrasturcture (GI) Practices been implemented?</t>
  </si>
  <si>
    <t>24-hour storm event without allowing any discharge from the emergency spillway;</t>
  </si>
  <si>
    <t>The principal outlet control structure for a detention pond shall be sized to convey the 2, 5, 10, 25, and 50-year,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</si>
</sst>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409]d\-mmm\-yy;@"/>
    <numFmt numFmtId="165" formatCode="0.000000"/>
    <numFmt numFmtId="166" formatCode="0."/>
    <numFmt numFmtId="167" formatCode="#,##0.000000"/>
    <numFmt numFmtId="168" formatCode="[$-409]d\ mmmm\ yyyy;@"/>
    <numFmt numFmtId="169" formatCode="[$-409]dd\ mmmm\ yyyy;@"/>
    <numFmt numFmtId="170" formatCode="[&lt;=9999999]###\-####;\(###\)\ ###\-####"/>
    <numFmt numFmtId="171" formatCode="00000"/>
    <numFmt numFmtId="172" formatCode="[$-409]dd\-mmm\-yy;@"/>
    <numFmt numFmtId="173" formatCode="\-0.000000"/>
    <numFmt numFmtId="174" formatCode="[$-409]mmmm\ d\,\ yyyy;@"/>
    <numFmt numFmtId="175" formatCode="\-#,##0.000000"/>
    <numFmt numFmtId="176" formatCode="#,##0.000"/>
    <numFmt numFmtId="177" formatCode="#,##0.0000"/>
    <numFmt numFmtId="178" formatCode="00\ 00\ 00\ 0\ 000\ 000.000"/>
    <numFmt numFmtId="179" formatCode="yyyy\-mm\-dd\ hh:mm"/>
    <numFmt numFmtId="180" formatCode="[$-409]dd\ mmmm\ yyyy\ h:mm\ AM/PM;@"/>
    <numFmt numFmtId="181" formatCode="0\)"/>
    <numFmt numFmtId="182" formatCode="0.0"/>
  </numFmts>
  <fonts count="30"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10"/>
      <color theme="1"/>
      <name val="Calibri"/>
      <family val="2"/>
    </font>
    <font>
      <vertAlign val="superscript"/>
      <sz val="8"/>
      <color theme="1"/>
      <name val="Calibri"/>
      <family val="2"/>
    </font>
    <font>
      <b/>
      <sz val="12"/>
      <color theme="1"/>
      <name val="Calibri"/>
      <family val="2"/>
      <scheme val="minor"/>
    </font>
    <font>
      <vertAlign val="subscript"/>
      <sz val="15"/>
      <color theme="1"/>
      <name val="Calibri"/>
      <family val="2"/>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vertAlign val="superscript"/>
      <sz val="9"/>
      <color theme="1"/>
      <name val="Calibri"/>
      <family val="2"/>
    </font>
    <font>
      <vertAlign val="subscript"/>
      <sz val="10"/>
      <color theme="1"/>
      <name val="Calibri"/>
      <family val="2"/>
      <scheme val="minor"/>
    </font>
    <font>
      <sz val="14"/>
      <color theme="1"/>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u/>
      <sz val="10"/>
      <color theme="10"/>
      <name val="Calibri"/>
      <family val="2"/>
      <scheme val="minor"/>
    </font>
    <font>
      <sz val="11"/>
      <color theme="1"/>
      <name val="Calibri"/>
      <family val="2"/>
      <scheme val="minor"/>
    </font>
    <font>
      <b/>
      <sz val="11"/>
      <color theme="0"/>
      <name val="Calibri"/>
      <family val="2"/>
      <scheme val="minor"/>
    </font>
    <font>
      <b/>
      <sz val="12"/>
      <color theme="1"/>
      <name val="Calibri"/>
      <family val="2"/>
    </font>
  </fonts>
  <fills count="10">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style="thin">
        <color auto="1"/>
      </left>
      <right/>
      <top style="thin">
        <color auto="1"/>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3">
    <xf numFmtId="0" fontId="0" fillId="0" borderId="0"/>
    <xf numFmtId="0" fontId="10" fillId="0" borderId="0" applyNumberFormat="0" applyFill="0" applyBorder="0" applyAlignment="0" applyProtection="0"/>
    <xf numFmtId="9" fontId="27" fillId="0" borderId="0" applyFont="0" applyFill="0" applyBorder="0" applyAlignment="0" applyProtection="0"/>
  </cellStyleXfs>
  <cellXfs count="261">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right" vertical="center" indent="1"/>
    </xf>
    <xf numFmtId="0" fontId="3"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1" fontId="3" fillId="0" borderId="0" xfId="0" applyNumberFormat="1" applyFont="1" applyAlignment="1">
      <alignment vertical="center"/>
    </xf>
    <xf numFmtId="4" fontId="3" fillId="0" borderId="0" xfId="0" applyNumberFormat="1" applyFont="1" applyAlignment="1">
      <alignment vertical="center"/>
    </xf>
    <xf numFmtId="0" fontId="8" fillId="0" borderId="0" xfId="0" applyFont="1" applyAlignment="1">
      <alignment vertical="center"/>
    </xf>
    <xf numFmtId="0" fontId="3" fillId="0" borderId="0" xfId="0" applyFont="1" applyAlignment="1">
      <alignment horizontal="right"/>
    </xf>
    <xf numFmtId="0" fontId="2" fillId="0" borderId="0" xfId="0" applyFont="1" applyAlignment="1">
      <alignment horizontal="right" vertical="center" wrapText="1"/>
    </xf>
    <xf numFmtId="3" fontId="3" fillId="0" borderId="0" xfId="0" applyNumberFormat="1" applyFont="1" applyAlignment="1">
      <alignment horizontal="right" vertical="center"/>
    </xf>
    <xf numFmtId="2" fontId="3" fillId="0" borderId="0" xfId="0" applyNumberFormat="1" applyFont="1" applyAlignment="1">
      <alignment vertical="center"/>
    </xf>
    <xf numFmtId="2" fontId="3" fillId="0" borderId="0" xfId="0" applyNumberFormat="1" applyFont="1" applyAlignment="1">
      <alignment horizontal="right" vertical="center"/>
    </xf>
    <xf numFmtId="3" fontId="3" fillId="0" borderId="3" xfId="0" applyNumberFormat="1" applyFont="1" applyBorder="1" applyAlignment="1">
      <alignment horizontal="right" vertical="center"/>
    </xf>
    <xf numFmtId="165" fontId="3" fillId="0" borderId="0" xfId="0" applyNumberFormat="1" applyFont="1" applyAlignment="1">
      <alignment vertical="center"/>
    </xf>
    <xf numFmtId="0" fontId="3" fillId="0" borderId="0" xfId="0" applyFont="1" applyAlignment="1">
      <alignment horizontal="center" vertical="center" wrapText="1"/>
    </xf>
    <xf numFmtId="4"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164" fontId="3" fillId="0" borderId="0" xfId="0" applyNumberFormat="1" applyFont="1" applyAlignment="1" applyProtection="1">
      <alignment horizontal="center" vertical="center"/>
      <protection hidden="1"/>
    </xf>
    <xf numFmtId="0" fontId="3" fillId="0" borderId="0" xfId="0" applyFont="1"/>
    <xf numFmtId="0" fontId="2" fillId="0" borderId="0" xfId="0" applyFont="1" applyAlignment="1">
      <alignment vertical="center" wrapText="1"/>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3" fillId="4" borderId="0" xfId="0" applyFont="1" applyFill="1" applyAlignment="1">
      <alignment vertical="center"/>
    </xf>
    <xf numFmtId="0" fontId="3" fillId="4" borderId="8" xfId="0" applyFont="1" applyFill="1" applyBorder="1" applyAlignment="1">
      <alignment vertical="center"/>
    </xf>
    <xf numFmtId="0" fontId="3" fillId="4" borderId="0" xfId="0" applyFont="1" applyFill="1" applyAlignment="1">
      <alignment horizontal="righ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0" fontId="3" fillId="4" borderId="10" xfId="0" applyFont="1" applyFill="1" applyBorder="1" applyAlignment="1">
      <alignment vertical="center"/>
    </xf>
    <xf numFmtId="0" fontId="11" fillId="4" borderId="0" xfId="0" applyFont="1" applyFill="1" applyAlignment="1">
      <alignment horizontal="right" vertical="center"/>
    </xf>
    <xf numFmtId="0" fontId="11" fillId="4" borderId="0" xfId="0" applyFont="1" applyFill="1" applyAlignment="1">
      <alignment vertical="center"/>
    </xf>
    <xf numFmtId="0" fontId="0" fillId="0" borderId="0" xfId="0" applyAlignment="1">
      <alignment vertical="center"/>
    </xf>
    <xf numFmtId="166" fontId="0" fillId="0" borderId="0" xfId="0" applyNumberFormat="1" applyAlignment="1">
      <alignment horizontal="center" vertical="center"/>
    </xf>
    <xf numFmtId="0" fontId="0" fillId="0" borderId="0" xfId="0" applyAlignment="1">
      <alignment horizontal="left" vertical="center"/>
    </xf>
    <xf numFmtId="2" fontId="3" fillId="0" borderId="0" xfId="0" applyNumberFormat="1" applyFont="1" applyAlignment="1" applyProtection="1">
      <alignment horizontal="right" vertical="center"/>
      <protection hidden="1"/>
    </xf>
    <xf numFmtId="2" fontId="3" fillId="0" borderId="0" xfId="0" applyNumberFormat="1" applyFont="1" applyAlignment="1" applyProtection="1">
      <alignment vertical="center"/>
      <protection hidden="1"/>
    </xf>
    <xf numFmtId="0" fontId="3" fillId="0" borderId="0" xfId="0" applyFont="1" applyAlignment="1">
      <alignment horizontal="left" vertical="center"/>
    </xf>
    <xf numFmtId="0" fontId="3" fillId="6" borderId="0" xfId="0" applyFont="1" applyFill="1" applyAlignment="1">
      <alignment vertical="center"/>
    </xf>
    <xf numFmtId="0" fontId="2" fillId="6" borderId="0" xfId="0" applyFont="1" applyFill="1" applyAlignment="1">
      <alignment vertical="center" wrapText="1"/>
    </xf>
    <xf numFmtId="0" fontId="3" fillId="6" borderId="0" xfId="0" applyFont="1" applyFill="1" applyAlignment="1">
      <alignment horizontal="right" vertical="center"/>
    </xf>
    <xf numFmtId="0" fontId="3" fillId="6" borderId="0" xfId="0" applyFont="1" applyFill="1"/>
    <xf numFmtId="0" fontId="3" fillId="0" borderId="12" xfId="0" applyFont="1" applyBorder="1" applyAlignment="1" applyProtection="1">
      <alignment horizontal="center" vertical="center"/>
      <protection locked="0"/>
    </xf>
    <xf numFmtId="166" fontId="3" fillId="0" borderId="0" xfId="0" applyNumberFormat="1" applyFont="1" applyAlignment="1">
      <alignment horizontal="center" vertical="center"/>
    </xf>
    <xf numFmtId="0" fontId="3" fillId="0" borderId="12" xfId="0" applyFont="1" applyBorder="1" applyAlignment="1">
      <alignment horizontal="center" vertical="center"/>
    </xf>
    <xf numFmtId="0" fontId="10" fillId="0" borderId="0" xfId="1" applyBorder="1" applyAlignment="1" applyProtection="1">
      <alignment horizontal="left" vertical="center"/>
    </xf>
    <xf numFmtId="0" fontId="3" fillId="0" borderId="0" xfId="0" applyFont="1" applyAlignment="1">
      <alignment vertical="top" wrapText="1"/>
    </xf>
    <xf numFmtId="0" fontId="0" fillId="0" borderId="0" xfId="0" applyAlignment="1">
      <alignment horizontal="right" vertical="center"/>
    </xf>
    <xf numFmtId="0" fontId="16" fillId="0" borderId="0" xfId="0" applyFont="1" applyAlignment="1">
      <alignment horizontal="center" vertical="center"/>
    </xf>
    <xf numFmtId="0" fontId="3" fillId="0" borderId="3" xfId="0" applyFont="1" applyBorder="1" applyAlignment="1">
      <alignment vertical="center"/>
    </xf>
    <xf numFmtId="0" fontId="14" fillId="0" borderId="12" xfId="0" applyFont="1" applyBorder="1" applyAlignment="1" applyProtection="1">
      <alignment horizontal="center" vertical="center"/>
      <protection locked="0"/>
    </xf>
    <xf numFmtId="0" fontId="10" fillId="0" borderId="0" xfId="1" applyBorder="1" applyAlignment="1" applyProtection="1">
      <alignment vertical="center"/>
    </xf>
    <xf numFmtId="166" fontId="14" fillId="0" borderId="0" xfId="0" applyNumberFormat="1" applyFont="1" applyAlignment="1">
      <alignment horizontal="center" vertical="center"/>
    </xf>
    <xf numFmtId="0" fontId="14" fillId="0" borderId="0" xfId="0" applyFont="1" applyAlignment="1">
      <alignment vertical="center"/>
    </xf>
    <xf numFmtId="166" fontId="13" fillId="0" borderId="0" xfId="0" applyNumberFormat="1" applyFont="1" applyAlignment="1">
      <alignment vertical="center"/>
    </xf>
    <xf numFmtId="0" fontId="14" fillId="0" borderId="1" xfId="0" applyFont="1" applyBorder="1" applyAlignment="1">
      <alignment horizontal="center" vertical="center"/>
    </xf>
    <xf numFmtId="4" fontId="14" fillId="0" borderId="1" xfId="0" applyNumberFormat="1" applyFont="1" applyBorder="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2" borderId="1" xfId="0" applyFont="1" applyFill="1" applyBorder="1" applyAlignment="1">
      <alignment vertical="center"/>
    </xf>
    <xf numFmtId="0" fontId="14" fillId="5" borderId="1" xfId="0" applyFont="1" applyFill="1" applyBorder="1" applyAlignment="1">
      <alignment vertical="center"/>
    </xf>
    <xf numFmtId="0" fontId="8" fillId="0" borderId="0" xfId="0" applyFont="1" applyAlignment="1">
      <alignment horizontal="left" vertical="center"/>
    </xf>
    <xf numFmtId="0" fontId="3" fillId="0" borderId="1" xfId="0" applyFont="1" applyBorder="1" applyAlignment="1">
      <alignment vertical="center"/>
    </xf>
    <xf numFmtId="0" fontId="3" fillId="0" borderId="0" xfId="0" applyFont="1" applyAlignment="1">
      <alignment vertical="top"/>
    </xf>
    <xf numFmtId="0" fontId="16" fillId="0" borderId="0" xfId="0" applyFont="1" applyAlignment="1">
      <alignment horizontal="right" vertical="center" indent="1"/>
    </xf>
    <xf numFmtId="0" fontId="3" fillId="0" borderId="0" xfId="0" applyFont="1" applyAlignment="1">
      <alignment vertical="center" wrapText="1"/>
    </xf>
    <xf numFmtId="0" fontId="21" fillId="0" borderId="0" xfId="0" applyFont="1" applyAlignment="1">
      <alignment horizontal="center" vertical="center"/>
    </xf>
    <xf numFmtId="168" fontId="17" fillId="0" borderId="0" xfId="0" applyNumberFormat="1" applyFont="1" applyAlignment="1">
      <alignment horizontal="left" vertical="center"/>
    </xf>
    <xf numFmtId="0" fontId="5" fillId="4" borderId="3" xfId="0" applyFont="1" applyFill="1" applyBorder="1" applyAlignment="1">
      <alignment vertical="center"/>
    </xf>
    <xf numFmtId="165" fontId="3" fillId="0" borderId="0" xfId="0" applyNumberFormat="1" applyFont="1" applyAlignment="1" applyProtection="1">
      <alignment vertical="center"/>
      <protection hidden="1"/>
    </xf>
    <xf numFmtId="2" fontId="3" fillId="0" borderId="11" xfId="0" applyNumberFormat="1" applyFont="1" applyBorder="1" applyAlignment="1" applyProtection="1">
      <alignment vertical="center"/>
      <protection hidden="1"/>
    </xf>
    <xf numFmtId="0" fontId="3" fillId="6" borderId="0" xfId="0" applyFont="1" applyFill="1" applyAlignment="1">
      <alignment horizontal="center" vertical="center"/>
    </xf>
    <xf numFmtId="0" fontId="8" fillId="6" borderId="0" xfId="0" applyFont="1" applyFill="1" applyAlignment="1">
      <alignment horizontal="left" vertical="center"/>
    </xf>
    <xf numFmtId="0" fontId="1" fillId="0" borderId="11" xfId="0" applyFont="1" applyBorder="1" applyAlignment="1">
      <alignment vertical="center"/>
    </xf>
    <xf numFmtId="0" fontId="3" fillId="0" borderId="11" xfId="0" applyFont="1" applyBorder="1" applyAlignment="1">
      <alignment vertical="center"/>
    </xf>
    <xf numFmtId="0" fontId="0" fillId="0" borderId="0" xfId="0" applyAlignment="1">
      <alignment wrapText="1"/>
    </xf>
    <xf numFmtId="0" fontId="0" fillId="0" borderId="0" xfId="0" applyAlignment="1">
      <alignment horizontal="left"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6" borderId="0" xfId="0" applyFont="1" applyFill="1" applyAlignment="1">
      <alignment horizontal="left" vertical="center"/>
    </xf>
    <xf numFmtId="0" fontId="3" fillId="0" borderId="11" xfId="0" applyFont="1" applyBorder="1" applyAlignment="1">
      <alignment horizontal="right" vertical="center"/>
    </xf>
    <xf numFmtId="0" fontId="5" fillId="0" borderId="0" xfId="0" applyFont="1" applyAlignment="1">
      <alignment vertical="center"/>
    </xf>
    <xf numFmtId="0" fontId="8" fillId="6" borderId="0" xfId="0" applyFont="1" applyFill="1" applyAlignment="1">
      <alignment vertical="center"/>
    </xf>
    <xf numFmtId="3" fontId="3" fillId="0" borderId="0" xfId="0" applyNumberFormat="1" applyFont="1" applyAlignment="1">
      <alignment vertical="center"/>
    </xf>
    <xf numFmtId="166" fontId="8" fillId="0" borderId="0" xfId="0" applyNumberFormat="1" applyFont="1" applyAlignment="1">
      <alignment horizontal="center" vertical="center"/>
    </xf>
    <xf numFmtId="0" fontId="17" fillId="0" borderId="0" xfId="0" applyFont="1" applyAlignment="1">
      <alignment horizontal="center" vertical="center" wrapText="1"/>
    </xf>
    <xf numFmtId="0" fontId="3" fillId="6" borderId="12" xfId="0" applyFont="1" applyFill="1" applyBorder="1" applyAlignment="1">
      <alignment horizontal="center" vertical="center"/>
    </xf>
    <xf numFmtId="0" fontId="1" fillId="0" borderId="0" xfId="0" applyFont="1" applyAlignment="1">
      <alignment horizontal="left" vertical="center"/>
    </xf>
    <xf numFmtId="2" fontId="3" fillId="6" borderId="12" xfId="0" applyNumberFormat="1" applyFont="1" applyFill="1" applyBorder="1" applyAlignment="1">
      <alignment horizontal="center" vertical="center"/>
    </xf>
    <xf numFmtId="4" fontId="3" fillId="6" borderId="0" xfId="0" applyNumberFormat="1" applyFont="1" applyFill="1" applyAlignment="1">
      <alignment vertical="center"/>
    </xf>
    <xf numFmtId="3" fontId="3" fillId="6" borderId="12" xfId="0" applyNumberFormat="1" applyFont="1" applyFill="1" applyBorder="1" applyAlignment="1">
      <alignment horizontal="center" vertical="center"/>
    </xf>
    <xf numFmtId="1" fontId="3" fillId="6" borderId="12" xfId="0" applyNumberFormat="1" applyFont="1" applyFill="1" applyBorder="1" applyAlignment="1">
      <alignment horizontal="center" vertical="center"/>
    </xf>
    <xf numFmtId="0" fontId="5" fillId="4" borderId="0" xfId="0" applyFont="1" applyFill="1" applyAlignment="1">
      <alignment horizontal="right" vertical="center"/>
    </xf>
    <xf numFmtId="0" fontId="3" fillId="6" borderId="14" xfId="0" applyFont="1" applyFill="1" applyBorder="1" applyAlignment="1">
      <alignment horizontal="center" vertical="center"/>
    </xf>
    <xf numFmtId="0" fontId="3" fillId="0" borderId="3" xfId="0" applyFont="1" applyBorder="1" applyAlignment="1">
      <alignment horizontal="right" vertical="center"/>
    </xf>
    <xf numFmtId="171" fontId="3" fillId="0" borderId="0" xfId="0" applyNumberFormat="1" applyFont="1" applyAlignment="1">
      <alignment horizontal="center" vertical="center"/>
    </xf>
    <xf numFmtId="0" fontId="14" fillId="0" borderId="12" xfId="0" applyFont="1" applyBorder="1" applyAlignment="1">
      <alignment horizontal="center" vertical="center"/>
    </xf>
    <xf numFmtId="1" fontId="3" fillId="6" borderId="0" xfId="0" applyNumberFormat="1" applyFont="1" applyFill="1" applyAlignment="1">
      <alignment horizontal="center" vertical="center"/>
    </xf>
    <xf numFmtId="2" fontId="3" fillId="6" borderId="0" xfId="0" applyNumberFormat="1" applyFont="1" applyFill="1" applyAlignment="1">
      <alignment horizontal="center" vertical="center"/>
    </xf>
    <xf numFmtId="0" fontId="0" fillId="0" borderId="0" xfId="0" applyAlignment="1">
      <alignment vertical="center" wrapText="1"/>
    </xf>
    <xf numFmtId="166" fontId="3" fillId="0" borderId="0" xfId="0" applyNumberFormat="1" applyFont="1" applyAlignment="1">
      <alignment vertical="center"/>
    </xf>
    <xf numFmtId="166" fontId="0" fillId="0" borderId="0" xfId="0" applyNumberFormat="1" applyAlignment="1">
      <alignment vertical="center"/>
    </xf>
    <xf numFmtId="0" fontId="20" fillId="0" borderId="0" xfId="0" applyFont="1" applyAlignment="1">
      <alignment horizontal="center" vertical="center"/>
    </xf>
    <xf numFmtId="166" fontId="3" fillId="0" borderId="0" xfId="0" applyNumberFormat="1" applyFont="1" applyAlignment="1">
      <alignment horizontal="left" vertical="center"/>
    </xf>
    <xf numFmtId="0" fontId="3" fillId="0" borderId="8" xfId="0" applyFont="1" applyBorder="1" applyAlignment="1">
      <alignment vertical="center"/>
    </xf>
    <xf numFmtId="176" fontId="3" fillId="0" borderId="0" xfId="0" applyNumberFormat="1" applyFont="1" applyAlignment="1">
      <alignment horizontal="right" vertical="center"/>
    </xf>
    <xf numFmtId="0" fontId="14" fillId="0" borderId="0" xfId="0" applyFont="1" applyAlignment="1">
      <alignment horizontal="center" vertical="center"/>
    </xf>
    <xf numFmtId="0" fontId="3" fillId="6" borderId="2" xfId="0" applyFont="1" applyFill="1" applyBorder="1" applyAlignment="1">
      <alignment horizontal="center" vertical="center"/>
    </xf>
    <xf numFmtId="0" fontId="5" fillId="4" borderId="1" xfId="0" applyFont="1" applyFill="1" applyBorder="1" applyAlignment="1">
      <alignment horizontal="right" vertical="center"/>
    </xf>
    <xf numFmtId="0" fontId="3" fillId="4" borderId="1" xfId="0" applyFont="1" applyFill="1" applyBorder="1" applyAlignment="1">
      <alignment horizontal="left" vertical="center"/>
    </xf>
    <xf numFmtId="166" fontId="3" fillId="0" borderId="0" xfId="0" quotePrefix="1" applyNumberFormat="1" applyFont="1" applyAlignment="1">
      <alignment horizontal="center" vertical="center"/>
    </xf>
    <xf numFmtId="2" fontId="0" fillId="0" borderId="0" xfId="0" applyNumberFormat="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vertical="center"/>
    </xf>
    <xf numFmtId="4" fontId="3" fillId="6" borderId="8" xfId="0" applyNumberFormat="1" applyFont="1" applyFill="1" applyBorder="1" applyAlignment="1">
      <alignment vertical="center"/>
    </xf>
    <xf numFmtId="0" fontId="3" fillId="6" borderId="9" xfId="0" applyFont="1" applyFill="1" applyBorder="1" applyAlignment="1">
      <alignment vertical="center"/>
    </xf>
    <xf numFmtId="4" fontId="3" fillId="6" borderId="10" xfId="0" applyNumberFormat="1" applyFont="1" applyFill="1" applyBorder="1" applyAlignment="1">
      <alignment vertical="center"/>
    </xf>
    <xf numFmtId="0" fontId="3" fillId="6" borderId="1" xfId="0" applyFont="1" applyFill="1" applyBorder="1" applyAlignment="1">
      <alignment vertical="center"/>
    </xf>
    <xf numFmtId="0" fontId="3" fillId="6" borderId="2" xfId="0" applyFont="1" applyFill="1" applyBorder="1" applyAlignment="1">
      <alignment vertical="center"/>
    </xf>
    <xf numFmtId="0" fontId="3" fillId="6" borderId="1" xfId="0" applyFont="1" applyFill="1" applyBorder="1" applyAlignment="1">
      <alignment horizontal="center" vertical="center"/>
    </xf>
    <xf numFmtId="0" fontId="5" fillId="3" borderId="3" xfId="0" applyFont="1" applyFill="1" applyBorder="1" applyAlignment="1">
      <alignment horizontal="right" vertical="center"/>
    </xf>
    <xf numFmtId="177" fontId="3" fillId="6" borderId="12" xfId="0" applyNumberFormat="1" applyFont="1" applyFill="1" applyBorder="1" applyAlignment="1">
      <alignment vertical="center"/>
    </xf>
    <xf numFmtId="1" fontId="3" fillId="0" borderId="3" xfId="0" applyNumberFormat="1" applyFont="1" applyBorder="1" applyAlignment="1">
      <alignment vertical="center"/>
    </xf>
    <xf numFmtId="0" fontId="17" fillId="0" borderId="0" xfId="0" applyFont="1" applyAlignment="1">
      <alignment vertical="center" wrapText="1"/>
    </xf>
    <xf numFmtId="0" fontId="1" fillId="6" borderId="0" xfId="0" applyFont="1" applyFill="1" applyAlignment="1">
      <alignment horizontal="center" vertical="center"/>
    </xf>
    <xf numFmtId="0" fontId="0" fillId="0" borderId="0" xfId="0"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0" fillId="0" borderId="0" xfId="0" quotePrefix="1" applyAlignment="1">
      <alignment vertical="center"/>
    </xf>
    <xf numFmtId="169" fontId="0" fillId="0" borderId="0" xfId="0" quotePrefix="1" applyNumberFormat="1" applyAlignment="1">
      <alignment horizontal="center" vertical="center"/>
    </xf>
    <xf numFmtId="168" fontId="0" fillId="7" borderId="13" xfId="0" applyNumberFormat="1" applyFill="1" applyBorder="1" applyAlignment="1">
      <alignment horizontal="center" vertical="center"/>
    </xf>
    <xf numFmtId="0" fontId="0" fillId="7" borderId="13" xfId="0" applyFill="1" applyBorder="1" applyAlignment="1">
      <alignment horizontal="center" vertical="center"/>
    </xf>
    <xf numFmtId="168" fontId="0" fillId="0" borderId="0" xfId="0" applyNumberFormat="1" applyAlignment="1">
      <alignment horizontal="center" vertical="center"/>
    </xf>
    <xf numFmtId="168" fontId="0" fillId="0" borderId="0" xfId="0" quotePrefix="1" applyNumberFormat="1" applyAlignment="1">
      <alignment horizontal="center" vertical="center"/>
    </xf>
    <xf numFmtId="2" fontId="0" fillId="0" borderId="0" xfId="0" applyNumberFormat="1" applyAlignment="1">
      <alignment vertical="center"/>
    </xf>
    <xf numFmtId="169" fontId="0" fillId="0" borderId="0" xfId="0" applyNumberFormat="1" applyAlignment="1">
      <alignment horizontal="center" vertical="center"/>
    </xf>
    <xf numFmtId="1" fontId="0" fillId="0" borderId="0" xfId="0" applyNumberFormat="1" applyAlignment="1">
      <alignment horizontal="center" vertical="center"/>
    </xf>
    <xf numFmtId="1" fontId="3" fillId="6" borderId="14" xfId="0" applyNumberFormat="1" applyFont="1" applyFill="1" applyBorder="1" applyAlignment="1">
      <alignment horizontal="center" vertical="center"/>
    </xf>
    <xf numFmtId="0" fontId="25" fillId="0" borderId="0" xfId="0" applyFont="1" applyAlignment="1">
      <alignment horizontal="right" vertical="center"/>
    </xf>
    <xf numFmtId="0" fontId="0" fillId="0" borderId="0" xfId="0" applyAlignment="1">
      <alignment horizontal="right" vertical="center" indent="1"/>
    </xf>
    <xf numFmtId="0" fontId="0" fillId="0" borderId="0" xfId="0" applyAlignment="1">
      <alignment horizontal="right"/>
    </xf>
    <xf numFmtId="179" fontId="0" fillId="0" borderId="0" xfId="0" applyNumberFormat="1"/>
    <xf numFmtId="14" fontId="0" fillId="0" borderId="0" xfId="0" applyNumberFormat="1"/>
    <xf numFmtId="0" fontId="8" fillId="0" borderId="0" xfId="0" applyFont="1" applyAlignment="1">
      <alignment horizontal="right" vertical="center"/>
    </xf>
    <xf numFmtId="0" fontId="14" fillId="6" borderId="0" xfId="0" applyFont="1" applyFill="1" applyAlignment="1">
      <alignment vertical="center"/>
    </xf>
    <xf numFmtId="0" fontId="14" fillId="6" borderId="12" xfId="0" applyFont="1" applyFill="1" applyBorder="1" applyAlignment="1">
      <alignment horizontal="center" vertical="center"/>
    </xf>
    <xf numFmtId="166" fontId="14" fillId="6" borderId="0" xfId="0" applyNumberFormat="1" applyFont="1" applyFill="1" applyAlignment="1">
      <alignment horizontal="center" vertical="center"/>
    </xf>
    <xf numFmtId="0" fontId="28" fillId="8" borderId="16" xfId="0" applyFont="1" applyFill="1" applyBorder="1" applyAlignment="1">
      <alignment horizontal="center" vertical="center"/>
    </xf>
    <xf numFmtId="0" fontId="0" fillId="0" borderId="19" xfId="0" applyBorder="1" applyAlignment="1">
      <alignment horizontal="right" vertical="center"/>
    </xf>
    <xf numFmtId="180" fontId="0" fillId="0" borderId="20" xfId="0" applyNumberFormat="1" applyBorder="1" applyAlignment="1">
      <alignment horizontal="center"/>
    </xf>
    <xf numFmtId="0" fontId="0" fillId="0" borderId="21" xfId="0" applyBorder="1" applyAlignment="1">
      <alignment horizontal="right" vertical="center"/>
    </xf>
    <xf numFmtId="0" fontId="0" fillId="9" borderId="22" xfId="0" applyFill="1" applyBorder="1" applyAlignment="1">
      <alignment horizontal="center"/>
    </xf>
    <xf numFmtId="180" fontId="0" fillId="0" borderId="23" xfId="0" applyNumberFormat="1" applyBorder="1" applyAlignment="1">
      <alignment horizontal="center"/>
    </xf>
    <xf numFmtId="0" fontId="0" fillId="0" borderId="23" xfId="0" applyBorder="1" applyAlignment="1">
      <alignment horizontal="center"/>
    </xf>
    <xf numFmtId="0" fontId="0" fillId="0" borderId="24" xfId="0" applyBorder="1" applyAlignment="1">
      <alignment horizontal="right" vertical="center"/>
    </xf>
    <xf numFmtId="0" fontId="0" fillId="0" borderId="25" xfId="0" applyBorder="1" applyAlignment="1">
      <alignment horizontal="center"/>
    </xf>
    <xf numFmtId="180" fontId="0" fillId="9" borderId="13" xfId="0" applyNumberFormat="1" applyFill="1" applyBorder="1" applyAlignment="1">
      <alignment horizontal="center"/>
    </xf>
    <xf numFmtId="0" fontId="8" fillId="0" borderId="12" xfId="0" applyFont="1" applyBorder="1" applyAlignment="1" applyProtection="1">
      <alignment horizontal="center" vertical="center"/>
      <protection locked="0"/>
    </xf>
    <xf numFmtId="181" fontId="8" fillId="0" borderId="0" xfId="0" applyNumberFormat="1" applyFont="1" applyAlignment="1">
      <alignment horizontal="right" vertical="center"/>
    </xf>
    <xf numFmtId="181" fontId="8" fillId="0" borderId="0" xfId="0" applyNumberFormat="1" applyFont="1" applyAlignment="1">
      <alignment vertical="center"/>
    </xf>
    <xf numFmtId="0" fontId="8" fillId="6" borderId="0" xfId="0" applyFont="1" applyFill="1" applyAlignment="1">
      <alignment horizontal="center" vertical="center"/>
    </xf>
    <xf numFmtId="0" fontId="8" fillId="6" borderId="0" xfId="0" applyFont="1" applyFill="1" applyAlignment="1">
      <alignment horizontal="right" vertical="center"/>
    </xf>
    <xf numFmtId="0" fontId="3" fillId="0" borderId="0" xfId="0" quotePrefix="1" applyFont="1" applyAlignment="1">
      <alignment vertical="center"/>
    </xf>
    <xf numFmtId="0" fontId="3" fillId="0" borderId="1" xfId="0" applyFont="1" applyBorder="1" applyAlignment="1" applyProtection="1">
      <alignment vertical="center"/>
      <protection locked="0"/>
    </xf>
    <xf numFmtId="182" fontId="0" fillId="0" borderId="0" xfId="0" applyNumberFormat="1" applyAlignment="1">
      <alignment horizontal="center" vertical="center"/>
    </xf>
    <xf numFmtId="0" fontId="28" fillId="8" borderId="17" xfId="0" applyFont="1" applyFill="1" applyBorder="1" applyAlignment="1">
      <alignment horizontal="center" vertical="center"/>
    </xf>
    <xf numFmtId="0" fontId="28" fillId="8" borderId="18" xfId="0" applyFont="1" applyFill="1" applyBorder="1" applyAlignment="1">
      <alignment horizontal="center" vertical="center"/>
    </xf>
    <xf numFmtId="0" fontId="25" fillId="0" borderId="0" xfId="0" applyFont="1" applyAlignment="1">
      <alignment horizontal="left" vertical="center" wrapText="1"/>
    </xf>
    <xf numFmtId="169" fontId="14" fillId="0" borderId="0" xfId="0" applyNumberFormat="1" applyFont="1" applyAlignment="1">
      <alignment horizontal="left" vertical="center"/>
    </xf>
    <xf numFmtId="0" fontId="14" fillId="0" borderId="0" xfId="0" applyFont="1" applyAlignment="1">
      <alignment horizontal="left" vertical="center" wrapText="1"/>
    </xf>
    <xf numFmtId="0" fontId="3" fillId="0" borderId="0" xfId="0" applyFont="1" applyAlignment="1">
      <alignment horizontal="left" vertical="center"/>
    </xf>
    <xf numFmtId="177" fontId="3" fillId="0" borderId="1" xfId="0" applyNumberFormat="1" applyFont="1" applyBorder="1" applyAlignment="1" applyProtection="1">
      <alignment horizontal="right" vertical="center"/>
      <protection hidden="1"/>
    </xf>
    <xf numFmtId="168" fontId="17" fillId="0" borderId="0" xfId="0" applyNumberFormat="1" applyFont="1" applyAlignment="1">
      <alignment horizontal="left" vertical="center"/>
    </xf>
    <xf numFmtId="0" fontId="3" fillId="0" borderId="2" xfId="0" applyFont="1" applyBorder="1" applyAlignment="1" applyProtection="1">
      <alignment horizontal="center" vertical="center"/>
      <protection hidden="1"/>
    </xf>
    <xf numFmtId="4" fontId="3" fillId="0" borderId="2" xfId="0" applyNumberFormat="1" applyFont="1" applyBorder="1" applyAlignment="1" applyProtection="1">
      <alignment horizontal="right" vertical="center"/>
      <protection locked="0"/>
    </xf>
    <xf numFmtId="0" fontId="3" fillId="0" borderId="1" xfId="0" applyFont="1" applyBorder="1" applyAlignment="1" applyProtection="1">
      <alignment horizontal="left" vertical="center"/>
      <protection hidden="1"/>
    </xf>
    <xf numFmtId="164" fontId="3" fillId="0" borderId="1" xfId="0" applyNumberFormat="1" applyFont="1" applyBorder="1" applyAlignment="1" applyProtection="1">
      <alignment horizontal="center" vertical="center"/>
      <protection hidden="1"/>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70" fontId="3" fillId="0" borderId="2" xfId="0" applyNumberFormat="1"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26" fillId="0" borderId="1" xfId="1" applyFont="1" applyBorder="1" applyAlignment="1" applyProtection="1">
      <alignment horizontal="left" vertical="center"/>
      <protection locked="0"/>
    </xf>
    <xf numFmtId="2" fontId="3" fillId="0" borderId="2" xfId="0" applyNumberFormat="1" applyFont="1" applyBorder="1" applyAlignment="1" applyProtection="1">
      <alignment horizontal="right" vertical="center"/>
      <protection locked="0"/>
    </xf>
    <xf numFmtId="0" fontId="3" fillId="0" borderId="0" xfId="0" applyFont="1" applyAlignment="1">
      <alignment horizontal="center" vertical="center"/>
    </xf>
    <xf numFmtId="164" fontId="3"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horizontal="right" vertical="center"/>
      <protection locked="0"/>
    </xf>
    <xf numFmtId="3" fontId="3" fillId="0" borderId="1" xfId="0" applyNumberFormat="1" applyFont="1" applyBorder="1" applyAlignment="1" applyProtection="1">
      <alignment horizontal="right" vertical="center"/>
      <protection locked="0"/>
    </xf>
    <xf numFmtId="3" fontId="3" fillId="0" borderId="2" xfId="0" applyNumberFormat="1" applyFont="1" applyBorder="1" applyAlignment="1" applyProtection="1">
      <alignment horizontal="right" vertical="center"/>
      <protection locked="0"/>
    </xf>
    <xf numFmtId="0" fontId="3" fillId="6" borderId="15" xfId="0" applyFont="1" applyFill="1" applyBorder="1" applyAlignment="1">
      <alignment horizontal="center" vertical="center"/>
    </xf>
    <xf numFmtId="0" fontId="3" fillId="6" borderId="14" xfId="0" applyFont="1" applyFill="1" applyBorder="1" applyAlignment="1">
      <alignment horizontal="center" vertical="center"/>
    </xf>
    <xf numFmtId="4" fontId="3" fillId="0" borderId="1" xfId="0" applyNumberFormat="1" applyFont="1" applyBorder="1" applyAlignment="1" applyProtection="1">
      <alignment horizontal="right" vertical="center"/>
      <protection locked="0"/>
    </xf>
    <xf numFmtId="0" fontId="3" fillId="0" borderId="0" xfId="0" applyFont="1" applyAlignment="1">
      <alignment horizontal="center" vertical="center" wrapText="1"/>
    </xf>
    <xf numFmtId="2" fontId="3" fillId="0" borderId="0" xfId="0" applyNumberFormat="1" applyFont="1" applyAlignment="1">
      <alignment horizontal="right" vertical="center"/>
    </xf>
    <xf numFmtId="3" fontId="3" fillId="0" borderId="2" xfId="0" applyNumberFormat="1" applyFont="1" applyBorder="1" applyAlignment="1" applyProtection="1">
      <alignment horizontal="right" vertical="center"/>
      <protection hidden="1"/>
    </xf>
    <xf numFmtId="0" fontId="3" fillId="0" borderId="0" xfId="0" applyFont="1" applyAlignment="1" applyProtection="1">
      <alignment horizontal="right" vertical="center"/>
      <protection locked="0"/>
    </xf>
    <xf numFmtId="165" fontId="3" fillId="0" borderId="1" xfId="0" applyNumberFormat="1" applyFont="1" applyBorder="1" applyAlignment="1" applyProtection="1">
      <alignment horizontal="right" vertical="center"/>
      <protection locked="0"/>
    </xf>
    <xf numFmtId="173" fontId="3" fillId="0" borderId="1" xfId="0" applyNumberFormat="1" applyFont="1" applyBorder="1" applyAlignment="1" applyProtection="1">
      <alignment horizontal="right" vertical="center"/>
      <protection locked="0"/>
    </xf>
    <xf numFmtId="172" fontId="3" fillId="0" borderId="1"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right" vertical="center"/>
      <protection locked="0"/>
    </xf>
    <xf numFmtId="0" fontId="2" fillId="0" borderId="0" xfId="0" applyFont="1" applyAlignment="1">
      <alignment horizontal="right" vertical="center" wrapText="1"/>
    </xf>
    <xf numFmtId="0" fontId="3" fillId="0" borderId="1" xfId="0" applyFont="1" applyBorder="1" applyAlignment="1" applyProtection="1">
      <alignment horizontal="center" vertical="center"/>
      <protection locked="0"/>
    </xf>
    <xf numFmtId="0" fontId="3" fillId="0" borderId="0" xfId="0" applyFont="1" applyAlignment="1">
      <alignment horizontal="center" vertical="center" textRotation="90" wrapText="1"/>
    </xf>
    <xf numFmtId="0" fontId="13" fillId="0" borderId="0" xfId="0" applyFont="1" applyAlignment="1">
      <alignment horizontal="left" vertical="center"/>
    </xf>
    <xf numFmtId="4" fontId="3" fillId="0" borderId="1" xfId="0" applyNumberFormat="1" applyFont="1" applyBorder="1" applyAlignment="1" applyProtection="1">
      <alignment horizontal="right" vertical="center"/>
      <protection hidden="1"/>
    </xf>
    <xf numFmtId="4" fontId="3" fillId="0" borderId="4" xfId="0" applyNumberFormat="1" applyFont="1" applyBorder="1" applyAlignment="1" applyProtection="1">
      <alignment horizontal="right" vertical="center"/>
      <protection locked="0"/>
    </xf>
    <xf numFmtId="0" fontId="3" fillId="0" borderId="0" xfId="0" applyFont="1" applyAlignment="1">
      <alignment horizontal="right" vertical="center"/>
    </xf>
    <xf numFmtId="0" fontId="3" fillId="6" borderId="15" xfId="0" applyFont="1" applyFill="1" applyBorder="1" applyAlignment="1">
      <alignment horizontal="left" vertical="center"/>
    </xf>
    <xf numFmtId="0" fontId="3" fillId="6" borderId="14" xfId="0" applyFont="1" applyFill="1" applyBorder="1" applyAlignment="1">
      <alignment horizontal="left" vertical="center"/>
    </xf>
    <xf numFmtId="178" fontId="3" fillId="0" borderId="1" xfId="0" applyNumberFormat="1" applyFont="1" applyBorder="1" applyAlignment="1" applyProtection="1">
      <alignment horizontal="right" vertical="center"/>
      <protection locked="0"/>
    </xf>
    <xf numFmtId="176" fontId="3" fillId="0" borderId="1" xfId="0" applyNumberFormat="1" applyFont="1" applyBorder="1" applyAlignment="1" applyProtection="1">
      <alignment horizontal="right" vertical="center"/>
      <protection locked="0"/>
    </xf>
    <xf numFmtId="3" fontId="3" fillId="0" borderId="1" xfId="0" applyNumberFormat="1" applyFont="1" applyBorder="1" applyAlignment="1" applyProtection="1">
      <alignment horizontal="center" vertical="center"/>
      <protection locked="0"/>
    </xf>
    <xf numFmtId="2" fontId="3" fillId="0" borderId="1" xfId="2" applyNumberFormat="1" applyFont="1" applyBorder="1" applyAlignment="1" applyProtection="1">
      <alignment horizontal="right" vertical="center"/>
    </xf>
    <xf numFmtId="2" fontId="3" fillId="0" borderId="2" xfId="2" applyNumberFormat="1" applyFont="1" applyBorder="1" applyAlignment="1">
      <alignment horizontal="right" vertical="center"/>
    </xf>
    <xf numFmtId="4" fontId="3" fillId="0" borderId="1" xfId="0" applyNumberFormat="1" applyFont="1" applyBorder="1" applyAlignment="1">
      <alignment horizontal="right" vertical="center"/>
    </xf>
    <xf numFmtId="0" fontId="3" fillId="0" borderId="1" xfId="0" applyFont="1" applyBorder="1" applyAlignment="1">
      <alignment horizontal="center" vertical="center"/>
    </xf>
    <xf numFmtId="175" fontId="3" fillId="0" borderId="1" xfId="0" applyNumberFormat="1" applyFont="1" applyBorder="1" applyAlignment="1">
      <alignment vertical="center"/>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0" borderId="2" xfId="0" applyFont="1" applyBorder="1" applyAlignment="1">
      <alignment horizontal="left" vertical="center"/>
    </xf>
    <xf numFmtId="167" fontId="3" fillId="0" borderId="1" xfId="0" applyNumberFormat="1" applyFont="1" applyBorder="1" applyAlignment="1">
      <alignment vertical="center"/>
    </xf>
    <xf numFmtId="2" fontId="3" fillId="0" borderId="2" xfId="0" applyNumberFormat="1" applyFont="1" applyBorder="1" applyAlignment="1" applyProtection="1">
      <alignment horizontal="right" vertical="center"/>
      <protection hidden="1"/>
    </xf>
    <xf numFmtId="2" fontId="3" fillId="0" borderId="1" xfId="0" applyNumberFormat="1" applyFont="1" applyBorder="1" applyAlignment="1">
      <alignment horizontal="right" vertical="center"/>
    </xf>
    <xf numFmtId="173" fontId="3" fillId="0" borderId="2" xfId="0" applyNumberFormat="1" applyFont="1" applyBorder="1" applyAlignment="1" applyProtection="1">
      <alignment horizontal="right" vertical="center"/>
      <protection locked="0"/>
    </xf>
    <xf numFmtId="3" fontId="3" fillId="0" borderId="2" xfId="0" applyNumberFormat="1" applyFont="1" applyBorder="1" applyAlignment="1">
      <alignment horizontal="right" vertical="center"/>
    </xf>
    <xf numFmtId="0" fontId="17" fillId="0" borderId="0" xfId="0" applyFont="1" applyAlignment="1">
      <alignment horizontal="center" vertical="center" wrapText="1"/>
    </xf>
    <xf numFmtId="0" fontId="8" fillId="4" borderId="0" xfId="0" applyFont="1" applyFill="1" applyAlignment="1">
      <alignment horizontal="left" vertical="center"/>
    </xf>
    <xf numFmtId="0" fontId="8" fillId="3" borderId="0" xfId="0" applyFont="1" applyFill="1" applyAlignment="1">
      <alignment horizontal="left" vertical="center"/>
    </xf>
    <xf numFmtId="4" fontId="3" fillId="0" borderId="2" xfId="0" applyNumberFormat="1" applyFont="1" applyBorder="1" applyAlignment="1">
      <alignment horizontal="right" vertical="center"/>
    </xf>
    <xf numFmtId="3" fontId="3" fillId="0" borderId="1" xfId="0" applyNumberFormat="1" applyFont="1" applyBorder="1" applyAlignment="1">
      <alignment horizontal="right" vertical="center"/>
    </xf>
    <xf numFmtId="0" fontId="10" fillId="0" borderId="2" xfId="1" applyBorder="1" applyAlignment="1" applyProtection="1">
      <alignment horizontal="left" vertical="center"/>
      <protection locked="0"/>
    </xf>
    <xf numFmtId="4" fontId="3" fillId="0" borderId="2" xfId="0" applyNumberFormat="1" applyFont="1" applyBorder="1" applyAlignment="1" applyProtection="1">
      <alignment horizontal="right" vertical="center"/>
      <protection hidden="1"/>
    </xf>
    <xf numFmtId="0" fontId="3" fillId="0" borderId="0" xfId="0" applyFont="1" applyAlignment="1">
      <alignment horizontal="left" vertical="top" wrapText="1"/>
    </xf>
    <xf numFmtId="174" fontId="3" fillId="0" borderId="1" xfId="0"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locked="0"/>
    </xf>
    <xf numFmtId="2" fontId="3" fillId="0" borderId="1" xfId="0" applyNumberFormat="1" applyFont="1" applyBorder="1" applyAlignment="1" applyProtection="1">
      <alignment horizontal="right" vertical="center"/>
      <protection hidden="1"/>
    </xf>
    <xf numFmtId="164" fontId="3" fillId="3" borderId="2" xfId="0" applyNumberFormat="1" applyFont="1" applyFill="1" applyBorder="1" applyAlignment="1">
      <alignment horizontal="left" vertical="center"/>
    </xf>
    <xf numFmtId="2" fontId="3" fillId="0" borderId="2" xfId="0" applyNumberFormat="1" applyFont="1" applyBorder="1" applyAlignment="1">
      <alignment horizontal="right" vertical="center"/>
    </xf>
    <xf numFmtId="165" fontId="3" fillId="0" borderId="2" xfId="0" applyNumberFormat="1" applyFont="1" applyBorder="1" applyAlignment="1" applyProtection="1">
      <alignment horizontal="right" vertical="center"/>
      <protection hidden="1"/>
    </xf>
    <xf numFmtId="165" fontId="3" fillId="0" borderId="1" xfId="0" applyNumberFormat="1" applyFont="1" applyBorder="1" applyAlignment="1" applyProtection="1">
      <alignment horizontal="right" vertical="center"/>
      <protection hidden="1"/>
    </xf>
    <xf numFmtId="2"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left" vertical="center"/>
      <protection hidden="1"/>
    </xf>
    <xf numFmtId="3" fontId="3" fillId="0" borderId="1" xfId="0" applyNumberFormat="1" applyFont="1" applyBorder="1" applyAlignment="1" applyProtection="1">
      <alignment horizontal="right" vertical="center"/>
      <protection hidden="1"/>
    </xf>
    <xf numFmtId="0" fontId="3" fillId="0" borderId="1" xfId="0" applyFont="1" applyBorder="1" applyAlignment="1" applyProtection="1">
      <alignment horizontal="right" vertical="center"/>
      <protection hidden="1"/>
    </xf>
    <xf numFmtId="170" fontId="3" fillId="0" borderId="2" xfId="0" applyNumberFormat="1" applyFont="1" applyBorder="1" applyAlignment="1" applyProtection="1">
      <alignment horizontal="center" vertical="center"/>
      <protection locked="0"/>
    </xf>
    <xf numFmtId="170" fontId="3" fillId="0" borderId="1" xfId="0" applyNumberFormat="1" applyFont="1" applyBorder="1" applyAlignment="1" applyProtection="1">
      <alignment horizontal="center" vertical="center"/>
      <protection locked="0"/>
    </xf>
    <xf numFmtId="171" fontId="3" fillId="0" borderId="1" xfId="0" applyNumberFormat="1" applyFont="1" applyBorder="1" applyAlignment="1" applyProtection="1">
      <alignment horizontal="center" vertical="center"/>
      <protection locked="0"/>
    </xf>
    <xf numFmtId="178" fontId="3" fillId="0" borderId="1" xfId="0" applyNumberFormat="1" applyFont="1" applyBorder="1" applyAlignment="1">
      <alignment horizontal="right" vertical="center"/>
    </xf>
  </cellXfs>
  <cellStyles count="3">
    <cellStyle name="Hyperlink" xfId="1" builtinId="8"/>
    <cellStyle name="Normal" xfId="0" builtinId="0"/>
    <cellStyle name="Percent" xfId="2" builtinId="5"/>
  </cellStyles>
  <dxfs count="363">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83" formatCode="0.0000"/>
    </dxf>
    <dxf>
      <fill>
        <patternFill>
          <bgColor theme="5"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83"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77" formatCode="#,##0.0000"/>
    </dxf>
    <dxf>
      <fill>
        <patternFill>
          <bgColor theme="7" tint="0.59996337778862885"/>
        </patternFill>
      </fill>
    </dxf>
    <dxf>
      <fill>
        <patternFill>
          <bgColor theme="7" tint="0.59996337778862885"/>
        </patternFill>
      </fill>
    </dxf>
    <dxf>
      <numFmt numFmtId="3" formatCode="#,##0"/>
    </dxf>
    <dxf>
      <numFmt numFmtId="183"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5"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numFmt numFmtId="3" formatCode="#,##0"/>
    </dxf>
    <dxf>
      <numFmt numFmtId="177"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numFmt numFmtId="177" formatCode="#,##0.0000"/>
    </dxf>
    <dxf>
      <numFmt numFmtId="3" formatCode="#,##0"/>
    </dxf>
    <dxf>
      <fill>
        <patternFill>
          <bgColor theme="7" tint="0.59996337778862885"/>
        </patternFill>
      </fill>
    </dxf>
    <dxf>
      <fill>
        <patternFill>
          <bgColor theme="7" tint="0.59996337778862885"/>
        </patternFill>
      </fill>
    </dxf>
    <dxf>
      <fill>
        <patternFill>
          <bgColor theme="7"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numFmt numFmtId="3" formatCode="#,##0"/>
    </dxf>
    <dxf>
      <numFmt numFmtId="177" formatCode="#,##0.0000"/>
    </dxf>
    <dxf>
      <numFmt numFmtId="177"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numFmt numFmtId="3" formatCode="#,##0"/>
    </dxf>
    <dxf>
      <numFmt numFmtId="177"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2.jp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7</xdr:col>
      <xdr:colOff>318892</xdr:colOff>
      <xdr:row>44</xdr:row>
      <xdr:rowOff>42710</xdr:rowOff>
    </xdr:from>
    <xdr:to>
      <xdr:col>7</xdr:col>
      <xdr:colOff>1182492</xdr:colOff>
      <xdr:row>44</xdr:row>
      <xdr:rowOff>779674</xdr:rowOff>
    </xdr:to>
    <xdr:pic>
      <xdr:nvPicPr>
        <xdr:cNvPr id="7" name="Picture 6">
          <a:extLst>
            <a:ext uri="{FF2B5EF4-FFF2-40B4-BE49-F238E27FC236}">
              <a16:creationId xmlns:a16="http://schemas.microsoft.com/office/drawing/2014/main" id="{993E7F6A-B6E9-41E9-A542-7BEF39FA1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121272" y="9773450"/>
          <a:ext cx="863600" cy="752204"/>
        </a:xfrm>
        <a:prstGeom prst="rect">
          <a:avLst/>
        </a:prstGeom>
        <a:noFill/>
        <a:ln>
          <a:noFill/>
        </a:ln>
      </xdr:spPr>
    </xdr:pic>
    <xdr:clientData/>
  </xdr:twoCellAnchor>
  <xdr:twoCellAnchor editAs="oneCell">
    <xdr:from>
      <xdr:col>5</xdr:col>
      <xdr:colOff>111565</xdr:colOff>
      <xdr:row>43</xdr:row>
      <xdr:rowOff>46358</xdr:rowOff>
    </xdr:from>
    <xdr:to>
      <xdr:col>5</xdr:col>
      <xdr:colOff>915474</xdr:colOff>
      <xdr:row>43</xdr:row>
      <xdr:rowOff>781220</xdr:rowOff>
    </xdr:to>
    <xdr:pic>
      <xdr:nvPicPr>
        <xdr:cNvPr id="10" name="Picture 9">
          <a:extLst>
            <a:ext uri="{FF2B5EF4-FFF2-40B4-BE49-F238E27FC236}">
              <a16:creationId xmlns:a16="http://schemas.microsoft.com/office/drawing/2014/main" id="{3D73E453-C06D-4DD4-83A3-B9E5258DAA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264715" y="10428608"/>
          <a:ext cx="803909" cy="727242"/>
        </a:xfrm>
        <a:prstGeom prst="rect">
          <a:avLst/>
        </a:prstGeom>
        <a:noFill/>
        <a:ln>
          <a:noFill/>
        </a:ln>
      </xdr:spPr>
    </xdr:pic>
    <xdr:clientData/>
  </xdr:twoCellAnchor>
  <xdr:twoCellAnchor editAs="oneCell">
    <xdr:from>
      <xdr:col>5</xdr:col>
      <xdr:colOff>155574</xdr:colOff>
      <xdr:row>40</xdr:row>
      <xdr:rowOff>53656</xdr:rowOff>
    </xdr:from>
    <xdr:to>
      <xdr:col>5</xdr:col>
      <xdr:colOff>879474</xdr:colOff>
      <xdr:row>40</xdr:row>
      <xdr:rowOff>784239</xdr:rowOff>
    </xdr:to>
    <xdr:pic>
      <xdr:nvPicPr>
        <xdr:cNvPr id="11" name="Picture 10">
          <a:extLst>
            <a:ext uri="{FF2B5EF4-FFF2-40B4-BE49-F238E27FC236}">
              <a16:creationId xmlns:a16="http://schemas.microsoft.com/office/drawing/2014/main" id="{10E5F845-1F03-4F4D-B2BC-B05710ABA2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22499" y="7978456"/>
          <a:ext cx="723900" cy="730583"/>
        </a:xfrm>
        <a:prstGeom prst="rect">
          <a:avLst/>
        </a:prstGeom>
        <a:ln>
          <a:noFill/>
        </a:ln>
      </xdr:spPr>
    </xdr:pic>
    <xdr:clientData/>
  </xdr:twoCellAnchor>
  <xdr:twoCellAnchor editAs="oneCell">
    <xdr:from>
      <xdr:col>5</xdr:col>
      <xdr:colOff>113620</xdr:colOff>
      <xdr:row>42</xdr:row>
      <xdr:rowOff>40482</xdr:rowOff>
    </xdr:from>
    <xdr:to>
      <xdr:col>5</xdr:col>
      <xdr:colOff>951518</xdr:colOff>
      <xdr:row>42</xdr:row>
      <xdr:rowOff>778533</xdr:rowOff>
    </xdr:to>
    <xdr:pic>
      <xdr:nvPicPr>
        <xdr:cNvPr id="12" name="Picture 11">
          <a:extLst>
            <a:ext uri="{FF2B5EF4-FFF2-40B4-BE49-F238E27FC236}">
              <a16:creationId xmlns:a16="http://schemas.microsoft.com/office/drawing/2014/main" id="{8C985F67-4DC8-4915-81E3-E884CD504AF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6266770" y="9603582"/>
          <a:ext cx="837898" cy="741861"/>
        </a:xfrm>
        <a:prstGeom prst="rect">
          <a:avLst/>
        </a:prstGeom>
        <a:noFill/>
        <a:ln>
          <a:noFill/>
        </a:ln>
      </xdr:spPr>
    </xdr:pic>
    <xdr:clientData/>
  </xdr:twoCellAnchor>
  <xdr:twoCellAnchor editAs="oneCell">
    <xdr:from>
      <xdr:col>5</xdr:col>
      <xdr:colOff>161795</xdr:colOff>
      <xdr:row>41</xdr:row>
      <xdr:rowOff>57466</xdr:rowOff>
    </xdr:from>
    <xdr:to>
      <xdr:col>5</xdr:col>
      <xdr:colOff>891914</xdr:colOff>
      <xdr:row>41</xdr:row>
      <xdr:rowOff>782183</xdr:rowOff>
    </xdr:to>
    <xdr:pic>
      <xdr:nvPicPr>
        <xdr:cNvPr id="13" name="Picture 12" descr="Logo&#10;&#10;Description automatically generated">
          <a:extLst>
            <a:ext uri="{FF2B5EF4-FFF2-40B4-BE49-F238E27FC236}">
              <a16:creationId xmlns:a16="http://schemas.microsoft.com/office/drawing/2014/main" id="{2AC825A1-53E2-45A8-8241-FC60494996E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14945" y="8801416"/>
          <a:ext cx="720594" cy="724717"/>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6</xdr:col>
          <xdr:colOff>349576</xdr:colOff>
          <xdr:row>39</xdr:row>
          <xdr:rowOff>546</xdr:rowOff>
        </xdr:from>
        <xdr:to>
          <xdr:col>7</xdr:col>
          <xdr:colOff>1387801</xdr:colOff>
          <xdr:row>40</xdr:row>
          <xdr:rowOff>546</xdr:rowOff>
        </xdr:to>
        <xdr:pic>
          <xdr:nvPicPr>
            <xdr:cNvPr id="15" name="Picture 14">
              <a:extLst>
                <a:ext uri="{FF2B5EF4-FFF2-40B4-BE49-F238E27FC236}">
                  <a16:creationId xmlns:a16="http://schemas.microsoft.com/office/drawing/2014/main" id="{2C890635-FD55-45B4-91BB-696BDB8A3020}"/>
                </a:ext>
              </a:extLst>
            </xdr:cNvPr>
            <xdr:cNvPicPr>
              <a:picLocks noChangeAspect="1"/>
              <a:extLst>
                <a:ext uri="{84589F7E-364E-4C9E-8A38-B11213B215E9}">
                  <a14:cameraTool cellRange="Logo" spid="_x0000_s20254"/>
                </a:ext>
              </a:extLst>
            </xdr:cNvPicPr>
          </xdr:nvPicPr>
          <xdr:blipFill rotWithShape="1">
            <a:blip xmlns:r="http://schemas.openxmlformats.org/officeDocument/2006/relationships" r:embed="rId6"/>
            <a:stretch>
              <a:fillRect/>
            </a:stretch>
          </xdr:blipFill>
          <xdr:spPr bwMode="auto">
            <a:xfrm>
              <a:off x="3755716" y="6439446"/>
              <a:ext cx="1424940" cy="822960"/>
            </a:xfrm>
            <a:prstGeom prst="rect">
              <a:avLst/>
            </a:prstGeom>
            <a:noFill/>
            <a:ln>
              <a:noFill/>
            </a:ln>
          </xdr:spPr>
        </xdr:pic>
        <xdr:clientData/>
      </xdr:twoCellAnchor>
    </mc:Choice>
    <mc:Fallback/>
  </mc:AlternateContent>
  <xdr:twoCellAnchor editAs="oneCell">
    <xdr:from>
      <xdr:col>5</xdr:col>
      <xdr:colOff>53340</xdr:colOff>
      <xdr:row>44</xdr:row>
      <xdr:rowOff>220980</xdr:rowOff>
    </xdr:from>
    <xdr:to>
      <xdr:col>5</xdr:col>
      <xdr:colOff>1408471</xdr:colOff>
      <xdr:row>44</xdr:row>
      <xdr:rowOff>707323</xdr:rowOff>
    </xdr:to>
    <xdr:pic>
      <xdr:nvPicPr>
        <xdr:cNvPr id="2" name="Picture 1">
          <a:extLst>
            <a:ext uri="{FF2B5EF4-FFF2-40B4-BE49-F238E27FC236}">
              <a16:creationId xmlns:a16="http://schemas.microsoft.com/office/drawing/2014/main" id="{4395E017-A77F-4E1A-9D4E-4F0205ABE5A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2034540" y="9951720"/>
          <a:ext cx="1355131" cy="495868"/>
        </a:xfrm>
        <a:prstGeom prst="rect">
          <a:avLst/>
        </a:prstGeom>
      </xdr:spPr>
    </xdr:pic>
    <xdr:clientData/>
  </xdr:twoCellAnchor>
  <xdr:twoCellAnchor editAs="oneCell">
    <xdr:from>
      <xdr:col>5</xdr:col>
      <xdr:colOff>171450</xdr:colOff>
      <xdr:row>39</xdr:row>
      <xdr:rowOff>11430</xdr:rowOff>
    </xdr:from>
    <xdr:to>
      <xdr:col>5</xdr:col>
      <xdr:colOff>933942</xdr:colOff>
      <xdr:row>39</xdr:row>
      <xdr:rowOff>762000</xdr:rowOff>
    </xdr:to>
    <xdr:pic>
      <xdr:nvPicPr>
        <xdr:cNvPr id="6" name="Picture 5">
          <a:extLst>
            <a:ext uri="{FF2B5EF4-FFF2-40B4-BE49-F238E27FC236}">
              <a16:creationId xmlns:a16="http://schemas.microsoft.com/office/drawing/2014/main" id="{B47AD404-B9CA-6789-3D0A-53282B17D8DD}"/>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324600" y="7117080"/>
          <a:ext cx="762492" cy="75057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43815</xdr:colOff>
      <xdr:row>50</xdr:row>
      <xdr:rowOff>40005</xdr:rowOff>
    </xdr:from>
    <xdr:to>
      <xdr:col>35</xdr:col>
      <xdr:colOff>131825</xdr:colOff>
      <xdr:row>51</xdr:row>
      <xdr:rowOff>113274</xdr:rowOff>
    </xdr:to>
    <xdr:pic>
      <xdr:nvPicPr>
        <xdr:cNvPr id="9" name="Picture 8">
          <a:extLst>
            <a:ext uri="{FF2B5EF4-FFF2-40B4-BE49-F238E27FC236}">
              <a16:creationId xmlns:a16="http://schemas.microsoft.com/office/drawing/2014/main" id="{B0BE7FD3-1275-479F-80D1-3C983C232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315" y="8872855"/>
          <a:ext cx="659510" cy="263769"/>
        </a:xfrm>
        <a:prstGeom prst="rect">
          <a:avLst/>
        </a:prstGeom>
      </xdr:spPr>
    </xdr:pic>
    <xdr:clientData/>
  </xdr:twoCellAnchor>
  <xdr:oneCellAnchor>
    <xdr:from>
      <xdr:col>32</xdr:col>
      <xdr:colOff>50165</xdr:colOff>
      <xdr:row>99</xdr:row>
      <xdr:rowOff>63500</xdr:rowOff>
    </xdr:from>
    <xdr:ext cx="706616" cy="257707"/>
    <xdr:pic>
      <xdr:nvPicPr>
        <xdr:cNvPr id="13" name="Picture 12">
          <a:extLst>
            <a:ext uri="{FF2B5EF4-FFF2-40B4-BE49-F238E27FC236}">
              <a16:creationId xmlns:a16="http://schemas.microsoft.com/office/drawing/2014/main" id="{41ED544F-41E3-4E8F-A6BA-B2DF7EF52D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2665" y="17329150"/>
          <a:ext cx="706616" cy="257707"/>
        </a:xfrm>
        <a:prstGeom prst="rect">
          <a:avLst/>
        </a:prstGeom>
      </xdr:spPr>
    </xdr:pic>
    <xdr:clientData/>
  </xdr:oneCellAnchor>
  <xdr:oneCellAnchor>
    <xdr:from>
      <xdr:col>31</xdr:col>
      <xdr:colOff>133350</xdr:colOff>
      <xdr:row>151</xdr:row>
      <xdr:rowOff>34290</xdr:rowOff>
    </xdr:from>
    <xdr:ext cx="706616" cy="257707"/>
    <xdr:pic>
      <xdr:nvPicPr>
        <xdr:cNvPr id="14" name="Picture 13">
          <a:extLst>
            <a:ext uri="{FF2B5EF4-FFF2-40B4-BE49-F238E27FC236}">
              <a16:creationId xmlns:a16="http://schemas.microsoft.com/office/drawing/2014/main" id="{FD5143E6-0D37-4109-A5FC-A2620C6373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5350" y="25529540"/>
          <a:ext cx="706616" cy="25770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95250</xdr:colOff>
          <xdr:row>4</xdr:row>
          <xdr:rowOff>21176</xdr:rowOff>
        </xdr:to>
        <xdr:pic>
          <xdr:nvPicPr>
            <xdr:cNvPr id="2" name="Picture 1">
              <a:extLst>
                <a:ext uri="{FF2B5EF4-FFF2-40B4-BE49-F238E27FC236}">
                  <a16:creationId xmlns:a16="http://schemas.microsoft.com/office/drawing/2014/main" id="{7186B492-6E70-4EE0-ADFC-D95A1F4396F1}"/>
                </a:ext>
              </a:extLst>
            </xdr:cNvPr>
            <xdr:cNvPicPr>
              <a:picLocks noChangeAspect="1"/>
              <a:extLst>
                <a:ext uri="{84589F7E-364E-4C9E-8A38-B11213B215E9}">
                  <a14:cameraTool cellRange="Logo" spid="_x0000_s33233"/>
                </a:ext>
              </a:extLst>
            </xdr:cNvPicPr>
          </xdr:nvPicPr>
          <xdr:blipFill rotWithShape="1">
            <a:blip xmlns:r="http://schemas.openxmlformats.org/officeDocument/2006/relationships" r:embed="rId3"/>
            <a:stretch>
              <a:fillRect/>
            </a:stretch>
          </xdr:blipFill>
          <xdr:spPr bwMode="auto">
            <a:xfrm>
              <a:off x="0" y="0"/>
              <a:ext cx="1365250" cy="788891"/>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111941</xdr:colOff>
          <xdr:row>0</xdr:row>
          <xdr:rowOff>0</xdr:rowOff>
        </xdr:from>
        <xdr:to>
          <xdr:col>53</xdr:col>
          <xdr:colOff>133531</xdr:colOff>
          <xdr:row>5</xdr:row>
          <xdr:rowOff>0</xdr:rowOff>
        </xdr:to>
        <xdr:pic>
          <xdr:nvPicPr>
            <xdr:cNvPr id="4" name="Picture 3">
              <a:extLst>
                <a:ext uri="{FF2B5EF4-FFF2-40B4-BE49-F238E27FC236}">
                  <a16:creationId xmlns:a16="http://schemas.microsoft.com/office/drawing/2014/main" id="{C2534FD7-DB09-4ADD-885B-A20826857FEF}"/>
                </a:ext>
              </a:extLst>
            </xdr:cNvPr>
            <xdr:cNvPicPr>
              <a:picLocks noChangeAspect="1"/>
              <a:extLst>
                <a:ext uri="{84589F7E-364E-4C9E-8A38-B11213B215E9}">
                  <a14:cameraTool cellRange="Logo" spid="_x0000_s33234"/>
                </a:ext>
              </a:extLst>
            </xdr:cNvPicPr>
          </xdr:nvPicPr>
          <xdr:blipFill rotWithShape="1">
            <a:blip xmlns:r="http://schemas.openxmlformats.org/officeDocument/2006/relationships" r:embed="rId3"/>
            <a:stretch>
              <a:fillRect/>
            </a:stretch>
          </xdr:blipFill>
          <xdr:spPr bwMode="auto">
            <a:xfrm>
              <a:off x="7096941" y="0"/>
              <a:ext cx="1428750" cy="819150"/>
            </a:xfrm>
            <a:prstGeom prst="rect">
              <a:avLst/>
            </a:prstGeom>
            <a:noFill/>
            <a:ln>
              <a:noFill/>
            </a:ln>
          </xdr:spPr>
        </xdr:pic>
        <xdr:clientData/>
      </xdr:twoCellAnchor>
    </mc:Choice>
    <mc:Fallback/>
  </mc:AlternateContent>
  <xdr:oneCellAnchor>
    <xdr:from>
      <xdr:col>32</xdr:col>
      <xdr:colOff>37465</xdr:colOff>
      <xdr:row>194</xdr:row>
      <xdr:rowOff>78740</xdr:rowOff>
    </xdr:from>
    <xdr:ext cx="707488" cy="259080"/>
    <xdr:pic>
      <xdr:nvPicPr>
        <xdr:cNvPr id="5" name="Picture 4">
          <a:extLst>
            <a:ext uri="{FF2B5EF4-FFF2-40B4-BE49-F238E27FC236}">
              <a16:creationId xmlns:a16="http://schemas.microsoft.com/office/drawing/2014/main" id="{21E0A726-982C-4E89-AEC0-2635B52A9C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9965" y="33968690"/>
          <a:ext cx="707488" cy="259080"/>
        </a:xfrm>
        <a:prstGeom prst="rect">
          <a:avLst/>
        </a:prstGeom>
      </xdr:spPr>
    </xdr:pic>
    <xdr:clientData/>
  </xdr:oneCellAnchor>
  <xdr:twoCellAnchor editAs="oneCell">
    <xdr:from>
      <xdr:col>48</xdr:col>
      <xdr:colOff>13335</xdr:colOff>
      <xdr:row>55</xdr:row>
      <xdr:rowOff>20955</xdr:rowOff>
    </xdr:from>
    <xdr:to>
      <xdr:col>76</xdr:col>
      <xdr:colOff>59690</xdr:colOff>
      <xdr:row>101</xdr:row>
      <xdr:rowOff>78740</xdr:rowOff>
    </xdr:to>
    <xdr:pic>
      <xdr:nvPicPr>
        <xdr:cNvPr id="7" name="Picture 6">
          <a:extLst>
            <a:ext uri="{FF2B5EF4-FFF2-40B4-BE49-F238E27FC236}">
              <a16:creationId xmlns:a16="http://schemas.microsoft.com/office/drawing/2014/main" id="{C7BE75EB-C517-725F-27A1-E90BFC9E1E4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32" t="908" r="5520" b="4059"/>
        <a:stretch/>
      </xdr:blipFill>
      <xdr:spPr>
        <a:xfrm>
          <a:off x="14745335" y="9672955"/>
          <a:ext cx="5372735" cy="80524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31</xdr:col>
      <xdr:colOff>187325</xdr:colOff>
      <xdr:row>108</xdr:row>
      <xdr:rowOff>102235</xdr:rowOff>
    </xdr:from>
    <xdr:ext cx="712568" cy="259080"/>
    <xdr:pic>
      <xdr:nvPicPr>
        <xdr:cNvPr id="2" name="Picture 1" descr="A blue text on a white background&#10;&#10;Description automatically generated">
          <a:extLst>
            <a:ext uri="{FF2B5EF4-FFF2-40B4-BE49-F238E27FC236}">
              <a16:creationId xmlns:a16="http://schemas.microsoft.com/office/drawing/2014/main" id="{08BE371A-2EC0-4F0C-80D0-36E0B1B60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4245" y="1778063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43</xdr:col>
          <xdr:colOff>104775</xdr:colOff>
          <xdr:row>0</xdr:row>
          <xdr:rowOff>0</xdr:rowOff>
        </xdr:from>
        <xdr:to>
          <xdr:col>51</xdr:col>
          <xdr:colOff>17145</xdr:colOff>
          <xdr:row>5</xdr:row>
          <xdr:rowOff>15240</xdr:rowOff>
        </xdr:to>
        <xdr:pic>
          <xdr:nvPicPr>
            <xdr:cNvPr id="4" name="Picture 3">
              <a:extLst>
                <a:ext uri="{FF2B5EF4-FFF2-40B4-BE49-F238E27FC236}">
                  <a16:creationId xmlns:a16="http://schemas.microsoft.com/office/drawing/2014/main" id="{D0BBA9B3-3A89-4078-9509-894332737412}"/>
                </a:ext>
              </a:extLst>
            </xdr:cNvPr>
            <xdr:cNvPicPr>
              <a:picLocks noChangeAspect="1" noChangeArrowheads="1"/>
              <a:extLst>
                <a:ext uri="{84589F7E-364E-4C9E-8A38-B11213B215E9}">
                  <a14:cameraTool cellRange="Logo" spid="_x0000_s39938"/>
                </a:ext>
              </a:extLst>
            </xdr:cNvPicPr>
          </xdr:nvPicPr>
          <xdr:blipFill>
            <a:blip xmlns:r="http://schemas.openxmlformats.org/officeDocument/2006/relationships" r:embed="rId2"/>
            <a:stretch>
              <a:fillRect/>
            </a:stretch>
          </xdr:blipFill>
          <xdr:spPr bwMode="auto">
            <a:xfrm>
              <a:off x="7216775" y="0"/>
              <a:ext cx="1445895" cy="83439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140970</xdr:colOff>
      <xdr:row>61</xdr:row>
      <xdr:rowOff>57785</xdr:rowOff>
    </xdr:from>
    <xdr:ext cx="712568" cy="259080"/>
    <xdr:pic>
      <xdr:nvPicPr>
        <xdr:cNvPr id="5" name="Picture 4">
          <a:extLst>
            <a:ext uri="{FF2B5EF4-FFF2-40B4-BE49-F238E27FC236}">
              <a16:creationId xmlns:a16="http://schemas.microsoft.com/office/drawing/2014/main" id="{5BAEA85D-E5D5-421B-9743-3411295AF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2970" y="914463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12065</xdr:rowOff>
        </xdr:from>
        <xdr:to>
          <xdr:col>7</xdr:col>
          <xdr:colOff>38822</xdr:colOff>
          <xdr:row>4</xdr:row>
          <xdr:rowOff>19685</xdr:rowOff>
        </xdr:to>
        <xdr:pic>
          <xdr:nvPicPr>
            <xdr:cNvPr id="6" name="Picture 5">
              <a:extLst>
                <a:ext uri="{FF2B5EF4-FFF2-40B4-BE49-F238E27FC236}">
                  <a16:creationId xmlns:a16="http://schemas.microsoft.com/office/drawing/2014/main" id="{26633266-0633-4FE5-8BA0-9404780EC279}"/>
                </a:ext>
              </a:extLst>
            </xdr:cNvPr>
            <xdr:cNvPicPr>
              <a:picLocks noChangeAspect="1"/>
              <a:extLst>
                <a:ext uri="{84589F7E-364E-4C9E-8A38-B11213B215E9}">
                  <a14:cameraTool cellRange="Logo" spid="_x0000_s39939"/>
                </a:ext>
              </a:extLst>
            </xdr:cNvPicPr>
          </xdr:nvPicPr>
          <xdr:blipFill rotWithShape="1">
            <a:blip xmlns:r="http://schemas.openxmlformats.org/officeDocument/2006/relationships" r:embed="rId2"/>
            <a:stretch>
              <a:fillRect/>
            </a:stretch>
          </xdr:blipFill>
          <xdr:spPr bwMode="auto">
            <a:xfrm>
              <a:off x="0" y="12065"/>
              <a:ext cx="1308822" cy="756285"/>
            </a:xfrm>
            <a:prstGeom prst="rect">
              <a:avLst/>
            </a:prstGeom>
            <a:noFill/>
            <a:ln>
              <a:noFill/>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32</xdr:col>
      <xdr:colOff>135890</xdr:colOff>
      <xdr:row>51</xdr:row>
      <xdr:rowOff>64135</xdr:rowOff>
    </xdr:from>
    <xdr:to>
      <xdr:col>36</xdr:col>
      <xdr:colOff>172183</xdr:colOff>
      <xdr:row>52</xdr:row>
      <xdr:rowOff>116840</xdr:rowOff>
    </xdr:to>
    <xdr:pic>
      <xdr:nvPicPr>
        <xdr:cNvPr id="6" name="Picture 5">
          <a:extLst>
            <a:ext uri="{FF2B5EF4-FFF2-40B4-BE49-F238E27FC236}">
              <a16:creationId xmlns:a16="http://schemas.microsoft.com/office/drawing/2014/main" id="{E85FDF18-2D4E-4BCE-9D4D-283B72410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5840" y="9455785"/>
          <a:ext cx="719553" cy="243205"/>
        </a:xfrm>
        <a:prstGeom prst="rect">
          <a:avLst/>
        </a:prstGeom>
      </xdr:spPr>
    </xdr:pic>
    <xdr:clientData/>
  </xdr:twoCellAnchor>
  <xdr:oneCellAnchor>
    <xdr:from>
      <xdr:col>33</xdr:col>
      <xdr:colOff>53340</xdr:colOff>
      <xdr:row>95</xdr:row>
      <xdr:rowOff>54610</xdr:rowOff>
    </xdr:from>
    <xdr:ext cx="707488" cy="259080"/>
    <xdr:pic>
      <xdr:nvPicPr>
        <xdr:cNvPr id="7" name="Picture 6">
          <a:extLst>
            <a:ext uri="{FF2B5EF4-FFF2-40B4-BE49-F238E27FC236}">
              <a16:creationId xmlns:a16="http://schemas.microsoft.com/office/drawing/2014/main" id="{DAA5B764-0289-405B-B4B4-44E11C22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3790" y="17377410"/>
          <a:ext cx="707488" cy="259080"/>
        </a:xfrm>
        <a:prstGeom prst="rect">
          <a:avLst/>
        </a:prstGeom>
      </xdr:spPr>
    </xdr:pic>
    <xdr:clientData/>
  </xdr:oneCellAnchor>
  <xdr:oneCellAnchor>
    <xdr:from>
      <xdr:col>33</xdr:col>
      <xdr:colOff>72390</xdr:colOff>
      <xdr:row>146</xdr:row>
      <xdr:rowOff>83185</xdr:rowOff>
    </xdr:from>
    <xdr:ext cx="707488" cy="259080"/>
    <xdr:pic>
      <xdr:nvPicPr>
        <xdr:cNvPr id="8" name="Picture 7">
          <a:extLst>
            <a:ext uri="{FF2B5EF4-FFF2-40B4-BE49-F238E27FC236}">
              <a16:creationId xmlns:a16="http://schemas.microsoft.com/office/drawing/2014/main" id="{3808CA13-CB24-4776-AF37-59C2D6A983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2840" y="25921335"/>
          <a:ext cx="70748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47</xdr:col>
          <xdr:colOff>21771</xdr:colOff>
          <xdr:row>0</xdr:row>
          <xdr:rowOff>0</xdr:rowOff>
        </xdr:from>
        <xdr:to>
          <xdr:col>53</xdr:col>
          <xdr:colOff>132261</xdr:colOff>
          <xdr:row>5</xdr:row>
          <xdr:rowOff>19050</xdr:rowOff>
        </xdr:to>
        <xdr:pic>
          <xdr:nvPicPr>
            <xdr:cNvPr id="2" name="Picture 1">
              <a:extLst>
                <a:ext uri="{FF2B5EF4-FFF2-40B4-BE49-F238E27FC236}">
                  <a16:creationId xmlns:a16="http://schemas.microsoft.com/office/drawing/2014/main" id="{43250CB7-4703-415A-863F-82FC5F5634D0}"/>
                </a:ext>
              </a:extLst>
            </xdr:cNvPr>
            <xdr:cNvPicPr>
              <a:picLocks noChangeAspect="1"/>
              <a:extLst>
                <a:ext uri="{84589F7E-364E-4C9E-8A38-B11213B215E9}">
                  <a14:cameraTool cellRange="Logo" spid="_x0000_s37260"/>
                </a:ext>
              </a:extLst>
            </xdr:cNvPicPr>
          </xdr:nvPicPr>
          <xdr:blipFill rotWithShape="1">
            <a:blip xmlns:r="http://schemas.openxmlformats.org/officeDocument/2006/relationships" r:embed="rId3"/>
            <a:stretch>
              <a:fillRect/>
            </a:stretch>
          </xdr:blipFill>
          <xdr:spPr bwMode="auto">
            <a:xfrm>
              <a:off x="7311571" y="0"/>
              <a:ext cx="1459230" cy="83058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124460</xdr:colOff>
          <xdr:row>5</xdr:row>
          <xdr:rowOff>0</xdr:rowOff>
        </xdr:to>
        <xdr:pic>
          <xdr:nvPicPr>
            <xdr:cNvPr id="3" name="Picture 2">
              <a:extLst>
                <a:ext uri="{FF2B5EF4-FFF2-40B4-BE49-F238E27FC236}">
                  <a16:creationId xmlns:a16="http://schemas.microsoft.com/office/drawing/2014/main" id="{CD3EC917-351B-4FF6-B505-E2498D002C0B}"/>
                </a:ext>
              </a:extLst>
            </xdr:cNvPr>
            <xdr:cNvPicPr>
              <a:picLocks noChangeAspect="1"/>
              <a:extLst>
                <a:ext uri="{84589F7E-364E-4C9E-8A38-B11213B215E9}">
                  <a14:cameraTool cellRange="Logo" spid="_x0000_s37261"/>
                </a:ext>
              </a:extLst>
            </xdr:cNvPicPr>
          </xdr:nvPicPr>
          <xdr:blipFill rotWithShape="1">
            <a:blip xmlns:r="http://schemas.openxmlformats.org/officeDocument/2006/relationships" r:embed="rId3"/>
            <a:stretch>
              <a:fillRect/>
            </a:stretch>
          </xdr:blipFill>
          <xdr:spPr bwMode="auto">
            <a:xfrm>
              <a:off x="0" y="0"/>
              <a:ext cx="1428750" cy="819150"/>
            </a:xfrm>
            <a:prstGeom prst="rect">
              <a:avLst/>
            </a:prstGeom>
            <a:noFill/>
            <a:ln>
              <a:noFill/>
            </a:ln>
          </xdr:spPr>
        </xdr:pic>
        <xdr:clientData/>
      </xdr:twoCellAnchor>
    </mc:Choice>
    <mc:Fallback/>
  </mc:AlternateContent>
  <xdr:oneCellAnchor>
    <xdr:from>
      <xdr:col>33</xdr:col>
      <xdr:colOff>82550</xdr:colOff>
      <xdr:row>190</xdr:row>
      <xdr:rowOff>102235</xdr:rowOff>
    </xdr:from>
    <xdr:ext cx="707488" cy="259080"/>
    <xdr:pic>
      <xdr:nvPicPr>
        <xdr:cNvPr id="5" name="Picture 4">
          <a:extLst>
            <a:ext uri="{FF2B5EF4-FFF2-40B4-BE49-F238E27FC236}">
              <a16:creationId xmlns:a16="http://schemas.microsoft.com/office/drawing/2014/main" id="{391F6408-9FDD-4090-BCC8-7A73BB56C5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3000" y="34322385"/>
          <a:ext cx="707488" cy="25908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headerRowDxfId="362" dataDxfId="361">
  <autoFilter ref="D1:D10" xr:uid="{4350EFB0-EACE-4F2E-965F-30EBADAB0D63}"/>
  <sortState xmlns:xlrd2="http://schemas.microsoft.com/office/spreadsheetml/2017/richdata2" ref="D2:D10">
    <sortCondition ref="D2:D10"/>
  </sortState>
  <tableColumns count="1">
    <tableColumn id="1" xr3:uid="{20635FEE-B87A-4613-8116-D42DBA41BC7B}" name="Material" dataDxfId="3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1" totalsRowShown="0" headerRowDxfId="359" dataDxfId="358">
  <autoFilter ref="F1:F11" xr:uid="{6939741E-8EC4-48CA-B62A-CDE619601AF9}"/>
  <sortState xmlns:xlrd2="http://schemas.microsoft.com/office/spreadsheetml/2017/richdata2" ref="F2:F11">
    <sortCondition ref="F2:F11"/>
  </sortState>
  <tableColumns count="1">
    <tableColumn id="1" xr3:uid="{FCA45FDF-4BF6-485F-9343-A0FC0251070A}" name="Shape" dataDxfId="35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5" totalsRowShown="0" headerRowDxfId="356" dataDxfId="355">
  <autoFilter ref="H1:H5" xr:uid="{2397A227-8DCB-4BDE-A6B8-65F88654921D}"/>
  <tableColumns count="1">
    <tableColumn id="1" xr3:uid="{027BD434-05A1-4059-97D8-98CB878E91EF}" name="Type" dataDxfId="35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_Response" displayName="T_Response" ref="J1:J21" totalsRowShown="0" headerRowDxfId="353" dataDxfId="352">
  <autoFilter ref="J1:J21" xr:uid="{88C10C78-AF29-47BA-9C97-B74BAA8C7E1E}"/>
  <tableColumns count="1">
    <tableColumn id="1" xr3:uid="{C70FD3B5-6EE9-47D3-96F9-BC5D876984C6}" name="Design Response" dataDxfId="35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261821-00BA-47C6-9966-09F0C61A53D6}" name="OP" displayName="OP" ref="H8:H14" totalsRowShown="0" headerRowDxfId="350" dataDxfId="349">
  <autoFilter ref="H8:H14" xr:uid="{DB261821-00BA-47C6-9966-09F0C61A53D6}"/>
  <tableColumns count="1">
    <tableColumn id="1" xr3:uid="{62346A3B-A68D-4C87-9BFA-2C1AE1C31679}" name="Outlet Protection" dataDxfId="34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A3E2B9A-CDE6-4AED-B4C1-3F05B3376F37}" name="Storms" displayName="Storms" ref="K26:L32" totalsRowShown="0" headerRowDxfId="347">
  <autoFilter ref="K26:L32" xr:uid="{DA3E2B9A-CDE6-4AED-B4C1-3F05B3376F37}"/>
  <tableColumns count="2">
    <tableColumn id="1" xr3:uid="{D6C0B03A-3B69-43AC-BB12-3F71109D27B6}" name="Known or Adj Storm" dataDxfId="346"/>
    <tableColumn id="2" xr3:uid="{4E43272E-4428-4B6C-A6E9-657F071A2134}" name="Requirements" dataDxfId="34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6D2F5D8-A49A-45E4-A412-5EB745DB8AB5}" name="Table7" displayName="Table7" ref="L34:L36" totalsRowShown="0" headerRowDxfId="344" dataDxfId="343">
  <autoFilter ref="L34:L36" xr:uid="{56D2F5D8-A49A-45E4-A412-5EB745DB8AB5}"/>
  <tableColumns count="1">
    <tableColumn id="1" xr3:uid="{295D3A55-D0F9-4783-BE6A-20D2256D216E}" name="Question" dataDxfId="34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24847A-50BE-48E9-94F6-36731DFF6B41}" name="Table810" displayName="Table810" ref="B11:B14" totalsRowShown="0" headerRowDxfId="341" dataDxfId="340">
  <autoFilter ref="B11:B14" xr:uid="{2D24847A-50BE-48E9-94F6-36731DFF6B41}"/>
  <tableColumns count="1">
    <tableColumn id="1" xr3:uid="{D4488CE4-74AF-4931-9A2E-60CE8D009958}" name="Acceptance Table" dataDxfId="33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R45"/>
  <sheetViews>
    <sheetView showGridLines="0" zoomScaleNormal="100" workbookViewId="0">
      <selection activeCell="F14" sqref="F14"/>
    </sheetView>
  </sheetViews>
  <sheetFormatPr defaultRowHeight="14.4" x14ac:dyDescent="0.3"/>
  <cols>
    <col min="1" max="1" width="29" style="36" bestFit="1" customWidth="1"/>
    <col min="2" max="2" width="25.77734375" style="36" customWidth="1"/>
    <col min="3" max="3" width="4.77734375" style="36" customWidth="1"/>
    <col min="4" max="4" width="25.44140625" style="36" bestFit="1" customWidth="1"/>
    <col min="5" max="5" width="4.77734375" style="36" customWidth="1"/>
    <col min="6" max="6" width="20.77734375" style="36" customWidth="1"/>
    <col min="7" max="7" width="5.77734375" style="36" customWidth="1"/>
    <col min="8" max="8" width="25.77734375" style="36" customWidth="1"/>
    <col min="9" max="9" width="3.77734375" style="36" customWidth="1"/>
    <col min="10" max="10" width="75.6640625" style="36" bestFit="1" customWidth="1"/>
    <col min="11" max="11" width="20" style="36" customWidth="1"/>
    <col min="12" max="12" width="22.77734375" style="36" bestFit="1" customWidth="1"/>
    <col min="13" max="13" width="25" style="36" bestFit="1" customWidth="1"/>
    <col min="14" max="15" width="20.44140625" style="36" bestFit="1" customWidth="1"/>
    <col min="16" max="16" width="25" style="36" bestFit="1" customWidth="1"/>
    <col min="17" max="18" width="20.44140625" style="36" bestFit="1" customWidth="1"/>
    <col min="19" max="16384" width="8.88671875" style="36"/>
  </cols>
  <sheetData>
    <row r="1" spans="1:18" x14ac:dyDescent="0.3">
      <c r="A1" s="170" t="s">
        <v>460</v>
      </c>
      <c r="B1" s="171"/>
      <c r="D1" s="36" t="s">
        <v>20</v>
      </c>
      <c r="F1" s="36" t="s">
        <v>30</v>
      </c>
      <c r="H1" s="36" t="s">
        <v>59</v>
      </c>
      <c r="J1" s="36" t="s">
        <v>76</v>
      </c>
      <c r="K1" s="131">
        <v>1</v>
      </c>
      <c r="L1" s="152" t="s">
        <v>246</v>
      </c>
      <c r="M1" s="152" t="s">
        <v>447</v>
      </c>
      <c r="N1" s="152" t="s">
        <v>152</v>
      </c>
      <c r="O1" s="152" t="s">
        <v>173</v>
      </c>
      <c r="P1" s="152" t="s">
        <v>154</v>
      </c>
      <c r="Q1" s="152" t="s">
        <v>151</v>
      </c>
      <c r="R1" s="152" t="s">
        <v>153</v>
      </c>
    </row>
    <row r="2" spans="1:18" x14ac:dyDescent="0.3">
      <c r="A2" s="153" t="s">
        <v>463</v>
      </c>
      <c r="B2" s="154">
        <f>EDATE(F$13,B3)</f>
        <v>46296</v>
      </c>
      <c r="C2"/>
      <c r="D2" s="36" t="s">
        <v>21</v>
      </c>
      <c r="F2" s="36" t="s">
        <v>287</v>
      </c>
      <c r="H2" s="133" t="s">
        <v>225</v>
      </c>
      <c r="J2" s="36" t="s">
        <v>239</v>
      </c>
      <c r="K2" s="131">
        <f>K1+1</f>
        <v>2</v>
      </c>
      <c r="L2" s="143" t="s">
        <v>5</v>
      </c>
      <c r="M2" s="115">
        <v>1</v>
      </c>
      <c r="N2" s="115">
        <v>1.1000000000000001</v>
      </c>
      <c r="O2" s="115">
        <v>1.1000000000000001</v>
      </c>
      <c r="P2" s="115">
        <v>1.2</v>
      </c>
      <c r="Q2" s="115">
        <v>1.1000000000000001</v>
      </c>
      <c r="R2" s="115">
        <v>1.1000000000000001</v>
      </c>
    </row>
    <row r="3" spans="1:18" x14ac:dyDescent="0.3">
      <c r="A3" s="155" t="s">
        <v>462</v>
      </c>
      <c r="B3" s="156">
        <v>12</v>
      </c>
      <c r="C3"/>
      <c r="D3" s="36" t="s">
        <v>66</v>
      </c>
      <c r="F3" s="36" t="s">
        <v>288</v>
      </c>
      <c r="H3" s="36" t="s">
        <v>226</v>
      </c>
      <c r="J3" s="36" t="s">
        <v>71</v>
      </c>
      <c r="K3" s="131">
        <f t="shared" ref="K3:K23" si="0">K2+1</f>
        <v>3</v>
      </c>
      <c r="L3" s="143" t="s">
        <v>6</v>
      </c>
      <c r="M3" s="115">
        <v>6.02</v>
      </c>
      <c r="N3" s="115">
        <v>4.1100000000000003</v>
      </c>
      <c r="O3" s="115">
        <v>4.1399999999999997</v>
      </c>
      <c r="P3" s="115">
        <v>5.7</v>
      </c>
      <c r="Q3" s="115">
        <v>4.24</v>
      </c>
      <c r="R3" s="115">
        <v>4.21</v>
      </c>
    </row>
    <row r="4" spans="1:18" x14ac:dyDescent="0.3">
      <c r="A4" s="155" t="s">
        <v>465</v>
      </c>
      <c r="B4" s="161"/>
      <c r="C4"/>
      <c r="D4" s="36" t="s">
        <v>67</v>
      </c>
      <c r="F4" s="36" t="s">
        <v>170</v>
      </c>
      <c r="H4" s="36" t="s">
        <v>249</v>
      </c>
      <c r="J4" s="36" t="s">
        <v>77</v>
      </c>
      <c r="K4" s="131">
        <f t="shared" si="0"/>
        <v>4</v>
      </c>
      <c r="L4" s="143" t="s">
        <v>7</v>
      </c>
      <c r="M4" s="115">
        <v>7.68</v>
      </c>
      <c r="N4" s="115">
        <v>5.01</v>
      </c>
      <c r="O4" s="115">
        <v>5.0599999999999996</v>
      </c>
      <c r="P4" s="115">
        <v>7.21</v>
      </c>
      <c r="Q4" s="115">
        <v>5.3</v>
      </c>
      <c r="R4" s="115">
        <v>5.24</v>
      </c>
    </row>
    <row r="5" spans="1:18" x14ac:dyDescent="0.3">
      <c r="A5" s="155" t="s">
        <v>459</v>
      </c>
      <c r="B5" s="156" t="s">
        <v>487</v>
      </c>
      <c r="C5" s="146"/>
      <c r="D5" s="36" t="s">
        <v>25</v>
      </c>
      <c r="F5" s="36" t="s">
        <v>169</v>
      </c>
      <c r="H5" s="36" t="s">
        <v>227</v>
      </c>
      <c r="J5" s="36" t="s">
        <v>68</v>
      </c>
      <c r="K5" s="131">
        <f t="shared" si="0"/>
        <v>5</v>
      </c>
      <c r="L5" s="143" t="s">
        <v>8</v>
      </c>
      <c r="M5" s="115">
        <v>9.26</v>
      </c>
      <c r="N5" s="115">
        <v>5.87</v>
      </c>
      <c r="O5" s="115">
        <v>5.91</v>
      </c>
      <c r="P5" s="115">
        <v>8.6300000000000008</v>
      </c>
      <c r="Q5" s="115">
        <v>6.24</v>
      </c>
      <c r="R5" s="115">
        <v>6.17</v>
      </c>
    </row>
    <row r="6" spans="1:18" x14ac:dyDescent="0.3">
      <c r="A6" s="155" t="s">
        <v>466</v>
      </c>
      <c r="B6" s="157">
        <f>IF(ISBLANK($B$4),$B$2,$B$4)</f>
        <v>46296</v>
      </c>
      <c r="C6"/>
      <c r="D6" s="36" t="s">
        <v>23</v>
      </c>
      <c r="F6" s="36" t="s">
        <v>171</v>
      </c>
      <c r="J6" s="36" t="str">
        <f>"Emergency Spillway Velocity &gt; "&amp;F26&amp;" ft/s"</f>
        <v>Emergency Spillway Velocity &gt; 6 ft/s</v>
      </c>
      <c r="K6" s="131">
        <f t="shared" si="0"/>
        <v>6</v>
      </c>
      <c r="L6" s="143" t="s">
        <v>9</v>
      </c>
      <c r="M6" s="115">
        <v>11.7</v>
      </c>
      <c r="N6" s="115">
        <v>7.21</v>
      </c>
      <c r="O6" s="115">
        <v>7.26</v>
      </c>
      <c r="P6" s="115">
        <v>10.8</v>
      </c>
      <c r="Q6" s="115">
        <v>7.64</v>
      </c>
      <c r="R6" s="115">
        <v>7.55</v>
      </c>
    </row>
    <row r="7" spans="1:18" x14ac:dyDescent="0.3">
      <c r="A7" s="155" t="s">
        <v>458</v>
      </c>
      <c r="B7" s="158" t="b">
        <f>IF(License!$F$2="I ACCEPT",TRUE,FALSE)</f>
        <v>0</v>
      </c>
      <c r="C7" s="147"/>
      <c r="D7" s="36" t="s">
        <v>22</v>
      </c>
      <c r="F7" s="36" t="s">
        <v>172</v>
      </c>
      <c r="J7" s="36" t="s">
        <v>428</v>
      </c>
      <c r="K7" s="131">
        <f t="shared" si="0"/>
        <v>7</v>
      </c>
      <c r="L7" s="143" t="s">
        <v>289</v>
      </c>
      <c r="M7" s="115">
        <v>13.9</v>
      </c>
      <c r="N7" s="115">
        <v>8.3699999999999992</v>
      </c>
      <c r="O7" s="115">
        <v>8.48</v>
      </c>
      <c r="P7" s="115">
        <v>12.7</v>
      </c>
      <c r="Q7" s="115">
        <v>8.8000000000000007</v>
      </c>
      <c r="R7" s="115">
        <v>8.6999999999999993</v>
      </c>
    </row>
    <row r="8" spans="1:18" x14ac:dyDescent="0.3">
      <c r="A8" s="159" t="s">
        <v>457</v>
      </c>
      <c r="B8" s="160" t="b">
        <f ca="1">OR(License!$F$4=B5, AND(B7=TRUE, NOW()&lt;B6))</f>
        <v>0</v>
      </c>
      <c r="C8"/>
      <c r="D8" s="36" t="s">
        <v>27</v>
      </c>
      <c r="F8" s="36" t="s">
        <v>350</v>
      </c>
      <c r="H8" s="36" t="s">
        <v>419</v>
      </c>
      <c r="J8" s="36" t="s">
        <v>111</v>
      </c>
      <c r="K8" s="131">
        <f t="shared" si="0"/>
        <v>8</v>
      </c>
      <c r="L8" s="143" t="s">
        <v>10</v>
      </c>
      <c r="M8" s="115">
        <v>16.3</v>
      </c>
      <c r="N8" s="115">
        <v>9.65</v>
      </c>
      <c r="O8" s="115">
        <v>9.83</v>
      </c>
      <c r="P8" s="115">
        <v>14.8</v>
      </c>
      <c r="Q8" s="115">
        <v>10</v>
      </c>
      <c r="R8" s="115">
        <v>9.93</v>
      </c>
    </row>
    <row r="9" spans="1:18" ht="15.6" x14ac:dyDescent="0.3">
      <c r="C9"/>
      <c r="D9" s="36" t="s">
        <v>24</v>
      </c>
      <c r="F9" s="36" t="s">
        <v>240</v>
      </c>
      <c r="H9" s="36" t="s">
        <v>422</v>
      </c>
      <c r="J9" s="36" t="s">
        <v>145</v>
      </c>
      <c r="K9" s="131">
        <f t="shared" si="0"/>
        <v>9</v>
      </c>
      <c r="L9" s="143" t="s">
        <v>183</v>
      </c>
      <c r="M9" s="134">
        <v>40574</v>
      </c>
      <c r="N9" s="134" t="s">
        <v>182</v>
      </c>
      <c r="O9" s="134" t="s">
        <v>181</v>
      </c>
      <c r="P9" s="134" t="s">
        <v>180</v>
      </c>
      <c r="Q9" s="134" t="s">
        <v>180</v>
      </c>
      <c r="R9" s="134" t="s">
        <v>179</v>
      </c>
    </row>
    <row r="10" spans="1:18" x14ac:dyDescent="0.3">
      <c r="D10" s="36" t="s">
        <v>65</v>
      </c>
      <c r="F10" s="36" t="s">
        <v>27</v>
      </c>
      <c r="H10" s="36" t="s">
        <v>423</v>
      </c>
      <c r="J10" s="36" t="s">
        <v>491</v>
      </c>
      <c r="K10" s="131">
        <f t="shared" si="0"/>
        <v>10</v>
      </c>
      <c r="L10" s="143" t="s">
        <v>178</v>
      </c>
      <c r="M10" s="130" t="s">
        <v>177</v>
      </c>
      <c r="N10" s="130" t="s">
        <v>176</v>
      </c>
      <c r="O10" s="130" t="s">
        <v>177</v>
      </c>
      <c r="P10" s="130" t="s">
        <v>176</v>
      </c>
      <c r="Q10" s="130" t="s">
        <v>176</v>
      </c>
      <c r="R10" s="130" t="s">
        <v>176</v>
      </c>
    </row>
    <row r="11" spans="1:18" x14ac:dyDescent="0.3">
      <c r="B11" s="36" t="s">
        <v>453</v>
      </c>
      <c r="H11" s="36" t="s">
        <v>424</v>
      </c>
      <c r="J11" s="36" t="s">
        <v>204</v>
      </c>
      <c r="K11" s="131">
        <f t="shared" si="0"/>
        <v>11</v>
      </c>
      <c r="L11" s="143" t="s">
        <v>189</v>
      </c>
      <c r="M11" s="130" t="s">
        <v>498</v>
      </c>
      <c r="N11" s="130" t="s">
        <v>190</v>
      </c>
      <c r="O11" s="130" t="s">
        <v>117</v>
      </c>
      <c r="P11" s="130" t="s">
        <v>117</v>
      </c>
      <c r="Q11" s="130" t="s">
        <v>117</v>
      </c>
      <c r="R11" s="130" t="s">
        <v>117</v>
      </c>
    </row>
    <row r="12" spans="1:18" ht="16.2" x14ac:dyDescent="0.3">
      <c r="B12" s="36" t="s">
        <v>454</v>
      </c>
      <c r="H12" s="36" t="s">
        <v>425</v>
      </c>
      <c r="J12" s="36" t="s">
        <v>293</v>
      </c>
      <c r="K12" s="131">
        <f t="shared" si="0"/>
        <v>12</v>
      </c>
      <c r="L12" s="143" t="s">
        <v>241</v>
      </c>
      <c r="M12" s="130"/>
      <c r="N12" s="130"/>
      <c r="O12" s="130"/>
      <c r="P12" s="130" t="s">
        <v>247</v>
      </c>
      <c r="Q12" s="130" t="s">
        <v>270</v>
      </c>
      <c r="R12" s="130"/>
    </row>
    <row r="13" spans="1:18" x14ac:dyDescent="0.3">
      <c r="B13" s="36" t="s">
        <v>451</v>
      </c>
      <c r="D13" s="51" t="s">
        <v>461</v>
      </c>
      <c r="F13" s="135">
        <v>45931</v>
      </c>
      <c r="H13" s="36" t="s">
        <v>426</v>
      </c>
      <c r="J13" s="36" t="str">
        <f>F25&amp;" has not been provided"</f>
        <v>0 has not been provided</v>
      </c>
      <c r="K13" s="131">
        <f t="shared" si="0"/>
        <v>13</v>
      </c>
      <c r="L13" s="143" t="s">
        <v>242</v>
      </c>
      <c r="M13" s="130">
        <v>6</v>
      </c>
      <c r="N13" s="130">
        <v>5</v>
      </c>
      <c r="O13" s="130">
        <v>5</v>
      </c>
      <c r="P13" s="130">
        <v>6</v>
      </c>
      <c r="Q13" s="130">
        <v>6</v>
      </c>
      <c r="R13" s="130">
        <v>6</v>
      </c>
    </row>
    <row r="14" spans="1:18" x14ac:dyDescent="0.3">
      <c r="B14" s="36" t="s">
        <v>452</v>
      </c>
      <c r="D14" s="51" t="s">
        <v>155</v>
      </c>
      <c r="F14" s="136" t="s">
        <v>447</v>
      </c>
      <c r="H14" s="36" t="s">
        <v>27</v>
      </c>
      <c r="J14" s="36" t="str">
        <f>"Known flooding:  "&amp;'From 2A.1 - Design'!AS121&amp;"-yr discharge &gt; "&amp;'From 2A.1 - Design'!AR121&amp;"-yr discharge"</f>
        <v>Known flooding:  2, 5, 10, 25, 50, and 100-yr discharge &gt; 2, 5, 10, 25, 50, and 100-yr discharge</v>
      </c>
      <c r="K14" s="131">
        <f t="shared" si="0"/>
        <v>14</v>
      </c>
      <c r="L14" s="143" t="s">
        <v>291</v>
      </c>
      <c r="M14" s="138" t="s">
        <v>344</v>
      </c>
      <c r="N14" s="138" t="s">
        <v>344</v>
      </c>
      <c r="O14" s="137"/>
      <c r="P14" s="138" t="s">
        <v>344</v>
      </c>
      <c r="Q14" s="138" t="s">
        <v>272</v>
      </c>
      <c r="R14" s="138" t="s">
        <v>273</v>
      </c>
    </row>
    <row r="15" spans="1:18" x14ac:dyDescent="0.3">
      <c r="D15" s="51" t="s">
        <v>5</v>
      </c>
      <c r="F15" s="115">
        <f>HLOOKUP($F$14,$M$1:$R$23,2)</f>
        <v>1</v>
      </c>
      <c r="G15" s="130" t="str">
        <f>TEXT(F15,"0.00")</f>
        <v>1.00</v>
      </c>
      <c r="J15" s="36" t="s">
        <v>380</v>
      </c>
      <c r="K15" s="131">
        <f t="shared" si="0"/>
        <v>15</v>
      </c>
      <c r="L15" s="143" t="s">
        <v>290</v>
      </c>
      <c r="M15" s="130" t="s">
        <v>292</v>
      </c>
      <c r="N15" s="130" t="s">
        <v>292</v>
      </c>
      <c r="O15" s="130" t="s">
        <v>292</v>
      </c>
      <c r="P15" s="130" t="s">
        <v>292</v>
      </c>
      <c r="Q15" s="130" t="s">
        <v>292</v>
      </c>
      <c r="R15" s="130" t="s">
        <v>292</v>
      </c>
    </row>
    <row r="16" spans="1:18" x14ac:dyDescent="0.3">
      <c r="D16" s="51" t="s">
        <v>6</v>
      </c>
      <c r="F16" s="115">
        <f>HLOOKUP($F$14,$M$1:$R$23,3)</f>
        <v>6.02</v>
      </c>
      <c r="J16" s="36" t="str">
        <f>"Drains to adjacent property:  "&amp;'From 2A.1 - Design'!AS121&amp;"-yr discharge &gt; "&amp;'From 2A.1 - Design'!AR121&amp;"-yr discharge"</f>
        <v>Drains to adjacent property:  2, 5, 10, 25, 50, and 100-yr discharge &gt; 2, 5, 10, 25, 50, and 100-yr discharge</v>
      </c>
      <c r="K16" s="131">
        <f t="shared" si="0"/>
        <v>16</v>
      </c>
      <c r="L16" s="143" t="s">
        <v>336</v>
      </c>
      <c r="M16" s="130">
        <v>6</v>
      </c>
      <c r="N16" s="130">
        <v>6</v>
      </c>
      <c r="O16" s="130">
        <v>6</v>
      </c>
      <c r="P16" s="130">
        <v>6</v>
      </c>
      <c r="Q16" s="130">
        <v>6</v>
      </c>
      <c r="R16" s="130">
        <v>6</v>
      </c>
    </row>
    <row r="17" spans="4:18" x14ac:dyDescent="0.3">
      <c r="D17" s="51" t="s">
        <v>7</v>
      </c>
      <c r="F17" s="115">
        <f>HLOOKUP($F$14,$M$1:$R$23,4)</f>
        <v>7.68</v>
      </c>
      <c r="G17" s="139"/>
      <c r="J17" s="36" t="s">
        <v>348</v>
      </c>
      <c r="K17" s="131">
        <f t="shared" si="0"/>
        <v>17</v>
      </c>
      <c r="L17" s="143" t="s">
        <v>335</v>
      </c>
      <c r="M17" s="130" t="s">
        <v>140</v>
      </c>
      <c r="N17" s="130" t="s">
        <v>140</v>
      </c>
      <c r="O17" s="130" t="s">
        <v>140</v>
      </c>
      <c r="P17" s="130" t="s">
        <v>140</v>
      </c>
      <c r="Q17" s="130" t="s">
        <v>162</v>
      </c>
      <c r="R17" s="130" t="s">
        <v>140</v>
      </c>
    </row>
    <row r="18" spans="4:18" x14ac:dyDescent="0.3">
      <c r="D18" s="51" t="s">
        <v>8</v>
      </c>
      <c r="F18" s="115">
        <f>HLOOKUP($F$14,$M$1:$R$23,5)</f>
        <v>9.26</v>
      </c>
      <c r="J18" s="36" t="str">
        <f>"Outlet Control Structure Velocity &gt; "&amp;F26&amp;" ft/s"</f>
        <v>Outlet Control Structure Velocity &gt; 6 ft/s</v>
      </c>
      <c r="K18" s="131">
        <f t="shared" si="0"/>
        <v>18</v>
      </c>
      <c r="L18" s="143" t="s">
        <v>358</v>
      </c>
      <c r="M18" s="130">
        <v>2</v>
      </c>
      <c r="N18" s="130">
        <v>10</v>
      </c>
      <c r="O18" s="130">
        <v>2</v>
      </c>
      <c r="P18" s="130">
        <v>2</v>
      </c>
      <c r="Q18" s="130">
        <v>25</v>
      </c>
      <c r="R18" s="130">
        <v>25</v>
      </c>
    </row>
    <row r="19" spans="4:18" x14ac:dyDescent="0.3">
      <c r="D19" s="51" t="s">
        <v>9</v>
      </c>
      <c r="F19" s="115">
        <f>HLOOKUP($F$14,$M$1:$R$23,6)</f>
        <v>11.7</v>
      </c>
      <c r="J19" s="36" t="s">
        <v>395</v>
      </c>
      <c r="K19" s="131">
        <f t="shared" si="0"/>
        <v>19</v>
      </c>
      <c r="L19" s="143" t="s">
        <v>404</v>
      </c>
      <c r="M19" s="130" t="str">
        <f t="shared" ref="M19" si="1">VLOOKUP(M18,$K$27:$L$32,2)</f>
        <v>2, 5, 10, 25, 50, and 100</v>
      </c>
      <c r="N19" s="130" t="str">
        <f>VLOOKUP(N18,$K$27:$L$32,2)</f>
        <v>10, 25, 50, and 100</v>
      </c>
      <c r="O19" s="130" t="str">
        <f>VLOOKUP(O18,$K$27:$L$32,2)</f>
        <v>2, 5, 10, 25, 50, and 100</v>
      </c>
      <c r="P19" s="130" t="str">
        <f t="shared" ref="P19:R19" si="2">VLOOKUP(P18,$K$27:$L$32,2)</f>
        <v>2, 5, 10, 25, 50, and 100</v>
      </c>
      <c r="Q19" s="130" t="str">
        <f t="shared" si="2"/>
        <v>25, 50, and 100</v>
      </c>
      <c r="R19" s="130" t="str">
        <f t="shared" si="2"/>
        <v>25, 50, and 100</v>
      </c>
    </row>
    <row r="20" spans="4:18" x14ac:dyDescent="0.3">
      <c r="D20" s="51" t="s">
        <v>289</v>
      </c>
      <c r="F20" s="115">
        <f>HLOOKUP($F$14,$M$1:$R$23,7)</f>
        <v>13.9</v>
      </c>
      <c r="J20" s="36" t="s">
        <v>430</v>
      </c>
      <c r="K20" s="131">
        <f t="shared" si="0"/>
        <v>20</v>
      </c>
      <c r="L20" s="143" t="s">
        <v>359</v>
      </c>
      <c r="M20" s="130" t="s">
        <v>140</v>
      </c>
      <c r="N20" s="130" t="s">
        <v>162</v>
      </c>
      <c r="O20" s="130" t="s">
        <v>140</v>
      </c>
      <c r="P20" s="130" t="s">
        <v>162</v>
      </c>
      <c r="Q20" s="130" t="s">
        <v>162</v>
      </c>
      <c r="R20" s="130" t="s">
        <v>140</v>
      </c>
    </row>
    <row r="21" spans="4:18" x14ac:dyDescent="0.3">
      <c r="D21" s="51" t="s">
        <v>10</v>
      </c>
      <c r="F21" s="115">
        <f>HLOOKUP($F$14,$M$1:$R$23,8)</f>
        <v>16.3</v>
      </c>
      <c r="J21" s="36" t="str">
        <f>"Slope of the bottom of the detention pond  &lt; "&amp;F38&amp;".00%"</f>
        <v>Slope of the bottom of the detention pond  &lt; 1.00%</v>
      </c>
      <c r="K21" s="131">
        <f t="shared" si="0"/>
        <v>21</v>
      </c>
      <c r="L21" s="143" t="s">
        <v>360</v>
      </c>
      <c r="M21" s="130">
        <v>2</v>
      </c>
      <c r="N21" s="130">
        <v>2</v>
      </c>
      <c r="O21" s="130">
        <v>2</v>
      </c>
      <c r="P21" s="130">
        <v>2</v>
      </c>
      <c r="Q21" s="130">
        <v>25</v>
      </c>
      <c r="R21" s="130">
        <v>25</v>
      </c>
    </row>
    <row r="22" spans="4:18" x14ac:dyDescent="0.3">
      <c r="D22" s="51" t="s">
        <v>183</v>
      </c>
      <c r="F22" s="115">
        <f>HLOOKUP($F$14,$M$1:$R$23,9)</f>
        <v>40574</v>
      </c>
      <c r="K22" s="131">
        <f t="shared" si="0"/>
        <v>22</v>
      </c>
      <c r="L22" s="143" t="s">
        <v>405</v>
      </c>
      <c r="M22" s="130" t="str">
        <f t="shared" ref="M22" si="3">VLOOKUP(M21,$K$27:$L$32,2)</f>
        <v>2, 5, 10, 25, 50, and 100</v>
      </c>
      <c r="N22" s="130" t="str">
        <f>VLOOKUP(N21,$K$27:$L$32,2)</f>
        <v>2, 5, 10, 25, 50, and 100</v>
      </c>
      <c r="O22" s="130" t="str">
        <f>VLOOKUP(O21,$K$27:$L$32,2)</f>
        <v>2, 5, 10, 25, 50, and 100</v>
      </c>
      <c r="P22" s="130" t="str">
        <f t="shared" ref="P22" si="4">VLOOKUP(P21,$K$27:$L$32,2)</f>
        <v>2, 5, 10, 25, 50, and 100</v>
      </c>
      <c r="Q22" s="130" t="str">
        <f t="shared" ref="Q22" si="5">VLOOKUP(Q21,$K$27:$L$32,2)</f>
        <v>25, 50, and 100</v>
      </c>
      <c r="R22" s="130" t="str">
        <f t="shared" ref="R22" si="6">VLOOKUP(R21,$K$27:$L$32,2)</f>
        <v>25, 50, and 100</v>
      </c>
    </row>
    <row r="23" spans="4:18" x14ac:dyDescent="0.3">
      <c r="D23" s="51" t="s">
        <v>188</v>
      </c>
      <c r="F23" s="140" t="str">
        <f>HLOOKUP($F$14,$M$1:$R$23,10)</f>
        <v>County</v>
      </c>
      <c r="K23" s="131">
        <f t="shared" si="0"/>
        <v>23</v>
      </c>
      <c r="L23" s="143" t="s">
        <v>403</v>
      </c>
      <c r="M23" s="130" t="s">
        <v>500</v>
      </c>
      <c r="N23" s="130" t="s">
        <v>499</v>
      </c>
      <c r="O23" s="130" t="s">
        <v>499</v>
      </c>
      <c r="P23" s="130" t="s">
        <v>499</v>
      </c>
      <c r="Q23" s="130" t="s">
        <v>501</v>
      </c>
      <c r="R23" s="130" t="s">
        <v>499</v>
      </c>
    </row>
    <row r="24" spans="4:18" x14ac:dyDescent="0.3">
      <c r="D24" s="51" t="s">
        <v>189</v>
      </c>
      <c r="F24" s="140" t="str">
        <f>HLOOKUP($F$14,$M$1:$R$23,11)</f>
        <v xml:space="preserve"> O&amp;M Plan</v>
      </c>
      <c r="I24" s="145"/>
      <c r="K24" s="131">
        <v>24</v>
      </c>
      <c r="L24" s="143" t="s">
        <v>467</v>
      </c>
      <c r="M24" s="130">
        <v>1</v>
      </c>
      <c r="N24" s="130">
        <v>2</v>
      </c>
      <c r="O24" s="130">
        <v>2</v>
      </c>
      <c r="P24" s="130">
        <v>2</v>
      </c>
      <c r="Q24" s="130">
        <v>2</v>
      </c>
      <c r="R24" s="130">
        <v>2</v>
      </c>
    </row>
    <row r="25" spans="4:18" x14ac:dyDescent="0.3">
      <c r="D25" s="51" t="s">
        <v>241</v>
      </c>
      <c r="F25" s="130">
        <f>HLOOKUP($F$14,$M$1:$R$23,12)</f>
        <v>0</v>
      </c>
      <c r="I25" s="145"/>
      <c r="K25" s="36">
        <v>25</v>
      </c>
      <c r="L25" s="143" t="s">
        <v>468</v>
      </c>
      <c r="M25" s="130" t="s">
        <v>447</v>
      </c>
      <c r="N25" s="130" t="s">
        <v>469</v>
      </c>
      <c r="O25" s="130" t="s">
        <v>470</v>
      </c>
      <c r="P25" s="130" t="s">
        <v>471</v>
      </c>
      <c r="Q25" s="130" t="s">
        <v>472</v>
      </c>
      <c r="R25" s="130" t="s">
        <v>473</v>
      </c>
    </row>
    <row r="26" spans="4:18" x14ac:dyDescent="0.3">
      <c r="D26" s="51" t="s">
        <v>242</v>
      </c>
      <c r="F26" s="130">
        <f>HLOOKUP($F$14,$M$1:$R$23,13)</f>
        <v>6</v>
      </c>
      <c r="I26" s="145"/>
      <c r="K26" s="132" t="s">
        <v>410</v>
      </c>
      <c r="L26" s="132" t="s">
        <v>411</v>
      </c>
      <c r="M26" s="132"/>
    </row>
    <row r="27" spans="4:18" x14ac:dyDescent="0.3">
      <c r="D27" s="51" t="s">
        <v>271</v>
      </c>
      <c r="F27" s="137" t="str">
        <f>HLOOKUP($F$14,$M$1:$R$23,14)</f>
        <v>31 December</v>
      </c>
      <c r="I27" s="145"/>
      <c r="K27" s="36">
        <v>2</v>
      </c>
      <c r="L27" s="51" t="s">
        <v>292</v>
      </c>
      <c r="M27" s="51"/>
    </row>
    <row r="28" spans="4:18" x14ac:dyDescent="0.3">
      <c r="D28" s="51" t="s">
        <v>290</v>
      </c>
      <c r="E28" s="141">
        <f>HLOOKUP($F$14,$M$1:$R$23,16)</f>
        <v>6</v>
      </c>
      <c r="F28" s="137" t="str">
        <f>HLOOKUP($F$14,$M$1:$R$23,15)</f>
        <v>2, 5, 10, 25, 50, and 100</v>
      </c>
      <c r="I28" s="145"/>
      <c r="K28" s="36">
        <v>5</v>
      </c>
      <c r="L28" s="51" t="s">
        <v>406</v>
      </c>
      <c r="M28" s="51"/>
    </row>
    <row r="29" spans="4:18" x14ac:dyDescent="0.3">
      <c r="D29" s="51" t="s">
        <v>335</v>
      </c>
      <c r="E29" s="141"/>
      <c r="F29" s="137" t="str">
        <f>HLOOKUP($F$14,$M$1:$R$23,17)</f>
        <v>No</v>
      </c>
      <c r="I29" s="145"/>
      <c r="K29" s="36">
        <v>10</v>
      </c>
      <c r="L29" s="51" t="s">
        <v>407</v>
      </c>
      <c r="M29" s="51"/>
    </row>
    <row r="30" spans="4:18" x14ac:dyDescent="0.3">
      <c r="D30" s="51" t="s">
        <v>358</v>
      </c>
      <c r="E30" s="141"/>
      <c r="F30" s="141">
        <f>HLOOKUP($F$14,$M$1:$R$23,18)</f>
        <v>2</v>
      </c>
      <c r="I30" s="145"/>
      <c r="K30" s="36">
        <v>25</v>
      </c>
      <c r="L30" s="51" t="s">
        <v>408</v>
      </c>
      <c r="M30" s="51"/>
    </row>
    <row r="31" spans="4:18" x14ac:dyDescent="0.3">
      <c r="D31" s="51" t="s">
        <v>404</v>
      </c>
      <c r="E31" s="141"/>
      <c r="F31" s="141" t="str">
        <f>HLOOKUP($F$14,$M$1:$R$23,19)</f>
        <v>2, 5, 10, 25, 50, and 100</v>
      </c>
      <c r="I31" s="145"/>
      <c r="K31" s="36">
        <v>50</v>
      </c>
      <c r="L31" s="51" t="s">
        <v>409</v>
      </c>
      <c r="M31" s="51"/>
    </row>
    <row r="32" spans="4:18" x14ac:dyDescent="0.3">
      <c r="D32" s="51" t="s">
        <v>359</v>
      </c>
      <c r="E32" s="141"/>
      <c r="F32" s="137" t="str">
        <f>HLOOKUP($F$14,$M$1:$R$23,20)</f>
        <v>No</v>
      </c>
      <c r="I32" s="145"/>
      <c r="K32" s="36">
        <v>100</v>
      </c>
      <c r="L32" s="51">
        <v>100</v>
      </c>
      <c r="M32" s="51"/>
    </row>
    <row r="33" spans="4:13" x14ac:dyDescent="0.3">
      <c r="D33" s="51" t="s">
        <v>360</v>
      </c>
      <c r="E33" s="141"/>
      <c r="F33" s="141">
        <f>HLOOKUP($F$14,$M$1:$R$23,21)</f>
        <v>2</v>
      </c>
    </row>
    <row r="34" spans="4:13" x14ac:dyDescent="0.3">
      <c r="D34" s="51" t="s">
        <v>405</v>
      </c>
      <c r="E34" s="141"/>
      <c r="F34" s="141" t="str">
        <f>HLOOKUP($F$14,$M$1:$R$23,22)</f>
        <v>2, 5, 10, 25, 50, and 100</v>
      </c>
      <c r="L34" s="132" t="s">
        <v>415</v>
      </c>
      <c r="M34" s="132"/>
    </row>
    <row r="35" spans="4:13" x14ac:dyDescent="0.3">
      <c r="D35" s="51" t="s">
        <v>412</v>
      </c>
      <c r="E35" s="141"/>
      <c r="F35" s="141">
        <f>MIN(F30,F33)</f>
        <v>2</v>
      </c>
      <c r="L35" s="130" t="s">
        <v>162</v>
      </c>
      <c r="M35" s="130"/>
    </row>
    <row r="36" spans="4:13" x14ac:dyDescent="0.3">
      <c r="D36" s="51" t="s">
        <v>414</v>
      </c>
      <c r="E36" s="141"/>
      <c r="F36" s="130" t="str">
        <f>VLOOKUP(F35,$K$27:$L$32,2)</f>
        <v>2, 5, 10, 25, 50, and 100</v>
      </c>
      <c r="L36" s="130" t="s">
        <v>140</v>
      </c>
      <c r="M36" s="130"/>
    </row>
    <row r="37" spans="4:13" x14ac:dyDescent="0.3">
      <c r="D37" s="51" t="s">
        <v>403</v>
      </c>
      <c r="E37" s="141"/>
      <c r="F37" s="141" t="str">
        <f>HLOOKUP($F$14,$M$1:$R$23,23)</f>
        <v>Drainage Rights</v>
      </c>
    </row>
    <row r="38" spans="4:13" x14ac:dyDescent="0.3">
      <c r="D38" s="51" t="s">
        <v>467</v>
      </c>
      <c r="E38" s="141"/>
      <c r="F38" s="169">
        <f>HLOOKUP($F$14,$M$1:$R$24,24)</f>
        <v>1</v>
      </c>
    </row>
    <row r="39" spans="4:13" x14ac:dyDescent="0.3">
      <c r="D39" s="51" t="s">
        <v>468</v>
      </c>
      <c r="F39" s="141" t="str">
        <f>HLOOKUP($F$14,$M$1:$R$25,25)</f>
        <v>Baldwin County</v>
      </c>
      <c r="H39" s="131" t="s">
        <v>201</v>
      </c>
    </row>
    <row r="40" spans="4:13" ht="64.95" customHeight="1" x14ac:dyDescent="0.3">
      <c r="E40" s="144" t="s">
        <v>447</v>
      </c>
    </row>
    <row r="41" spans="4:13" ht="64.95" customHeight="1" x14ac:dyDescent="0.3">
      <c r="E41" s="51" t="s">
        <v>152</v>
      </c>
    </row>
    <row r="42" spans="4:13" ht="64.95" customHeight="1" x14ac:dyDescent="0.3">
      <c r="E42" s="51" t="s">
        <v>173</v>
      </c>
    </row>
    <row r="43" spans="4:13" ht="64.95" customHeight="1" x14ac:dyDescent="0.3">
      <c r="E43" s="51" t="s">
        <v>154</v>
      </c>
    </row>
    <row r="44" spans="4:13" ht="64.95" customHeight="1" x14ac:dyDescent="0.3">
      <c r="E44" s="51" t="s">
        <v>151</v>
      </c>
    </row>
    <row r="45" spans="4:13" ht="64.95" customHeight="1" x14ac:dyDescent="0.3">
      <c r="E45" s="51" t="s">
        <v>153</v>
      </c>
    </row>
  </sheetData>
  <sortState xmlns:xlrd2="http://schemas.microsoft.com/office/spreadsheetml/2017/richdata2" ref="D19:F24">
    <sortCondition ref="E19:E24"/>
  </sortState>
  <mergeCells count="1">
    <mergeCell ref="A1:B1"/>
  </mergeCells>
  <dataValidations count="3">
    <dataValidation type="list" allowBlank="1" showInputMessage="1" showErrorMessage="1" sqref="F14" xr:uid="{EBBE6338-4834-4C9B-9848-CE10F23E26FB}">
      <formula1>$M$1:$R$1</formula1>
    </dataValidation>
    <dataValidation type="list" allowBlank="1" showInputMessage="1" showErrorMessage="1" sqref="M18:R18 M21:R21" xr:uid="{D6B58A4C-7C48-4FE3-8A25-E00DA256AA5E}">
      <formula1>$K$27:$K$32</formula1>
    </dataValidation>
    <dataValidation type="list" allowBlank="1" showInputMessage="1" showErrorMessage="1" sqref="M17:R17 M20:R20" xr:uid="{28435609-2046-43BD-A9F3-08D43EFBFA74}">
      <formula1>$L$35:$L$36</formula1>
    </dataValidation>
  </dataValidations>
  <pageMargins left="0.7" right="0.7" top="0.75" bottom="0.75" header="0.3" footer="0.3"/>
  <pageSetup orientation="portrait" horizontalDpi="1200" verticalDpi="1200" r:id="rId1"/>
  <drawing r:id="rId2"/>
  <legacyDrawing r:id="rId3"/>
  <tableParts count="8">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390F5-78AD-482F-B053-1304FA695CE7}">
  <sheetPr codeName="Sheet1">
    <tabColor theme="2" tint="-0.499984740745262"/>
    <pageSetUpPr fitToPage="1"/>
  </sheetPr>
  <dimension ref="A1:Z55"/>
  <sheetViews>
    <sheetView showGridLines="0" showRowColHeaders="0" tabSelected="1" topLeftCell="B1" zoomScale="130" zoomScaleNormal="130" workbookViewId="0">
      <pane ySplit="3" topLeftCell="A5" activePane="bottomLeft" state="frozen"/>
      <selection pane="bottomLeft" activeCell="F2" sqref="F2"/>
    </sheetView>
  </sheetViews>
  <sheetFormatPr defaultColWidth="0" defaultRowHeight="19.95" customHeight="1" x14ac:dyDescent="0.3"/>
  <cols>
    <col min="1" max="1" width="8.88671875" style="149" hidden="1" customWidth="1"/>
    <col min="2" max="2" width="2.77734375" style="57" customWidth="1"/>
    <col min="3" max="3" width="5.77734375" style="56" customWidth="1"/>
    <col min="4" max="4" width="24.77734375" style="57" customWidth="1"/>
    <col min="5" max="5" width="4.77734375" style="57" customWidth="1"/>
    <col min="6" max="6" width="20.5546875" style="57" customWidth="1"/>
    <col min="7" max="11" width="8.88671875" style="57" customWidth="1"/>
    <col min="12" max="13" width="10.77734375" style="57" customWidth="1"/>
    <col min="14" max="18" width="8.88671875" style="57" customWidth="1"/>
    <col min="19" max="19" width="8.88671875" customWidth="1"/>
    <col min="20" max="20" width="8.88671875" style="57" customWidth="1"/>
    <col min="21" max="24" width="0" style="57" hidden="1" customWidth="1"/>
    <col min="25" max="25" width="8.88671875" style="57" hidden="1" customWidth="1"/>
    <col min="26" max="26" width="0" style="57" hidden="1" customWidth="1"/>
    <col min="27" max="16384" width="8.88671875" style="57" hidden="1"/>
  </cols>
  <sheetData>
    <row r="1" spans="1:20" ht="19.95" customHeight="1" x14ac:dyDescent="0.3">
      <c r="C1" s="58" t="s">
        <v>504</v>
      </c>
      <c r="N1" s="148" t="s">
        <v>448</v>
      </c>
      <c r="O1" s="173">
        <f>Tables!F13</f>
        <v>45931</v>
      </c>
      <c r="P1" s="173"/>
      <c r="Q1" s="173"/>
      <c r="R1" s="173"/>
      <c r="S1" s="173"/>
    </row>
    <row r="2" spans="1:20" ht="19.95" customHeight="1" x14ac:dyDescent="0.3">
      <c r="A2" s="150">
        <f>IF(OR(F2="I ACCEPT",F2="I DO NOT ACCEPT"),1,2)</f>
        <v>2</v>
      </c>
      <c r="E2" s="148" t="s">
        <v>450</v>
      </c>
      <c r="F2" s="162" t="s">
        <v>454</v>
      </c>
      <c r="N2" s="148" t="s">
        <v>464</v>
      </c>
      <c r="O2" s="173">
        <f>Tables!B6</f>
        <v>46296</v>
      </c>
      <c r="P2" s="173"/>
      <c r="Q2" s="173"/>
      <c r="R2" s="173"/>
      <c r="S2" s="173"/>
    </row>
    <row r="3" spans="1:20" ht="19.95" customHeight="1" x14ac:dyDescent="0.3">
      <c r="A3" s="150">
        <f ca="1">IF(F3="Workbook is Locked and Unavailable",2,1)</f>
        <v>2</v>
      </c>
      <c r="E3" s="148" t="s">
        <v>456</v>
      </c>
      <c r="F3" s="172" t="str">
        <f ca="1">IF(Tables!$B$8,"Workbook is Active","Workbook is Locked and Unavailable")</f>
        <v>Workbook is Locked and Unavailable</v>
      </c>
      <c r="G3" s="172"/>
      <c r="H3" s="172"/>
    </row>
    <row r="4" spans="1:20" ht="19.95" hidden="1" customHeight="1" x14ac:dyDescent="0.3">
      <c r="B4" s="149"/>
      <c r="C4" s="151"/>
      <c r="D4" s="149"/>
      <c r="E4" s="166" t="s">
        <v>455</v>
      </c>
      <c r="F4" s="165"/>
      <c r="G4" s="149"/>
      <c r="H4" s="149"/>
      <c r="I4" s="149"/>
      <c r="J4" s="149"/>
      <c r="K4" s="149"/>
      <c r="L4" s="149"/>
      <c r="M4" s="149"/>
      <c r="N4" s="149"/>
      <c r="O4" s="149"/>
      <c r="P4" s="149"/>
      <c r="Q4" s="149"/>
      <c r="R4" s="149"/>
      <c r="S4" s="149"/>
      <c r="T4" s="149"/>
    </row>
    <row r="6" spans="1:20" ht="19.95" customHeight="1" x14ac:dyDescent="0.3">
      <c r="D6" s="163"/>
      <c r="E6" s="163" t="s">
        <v>449</v>
      </c>
      <c r="F6" s="57" t="s">
        <v>527</v>
      </c>
    </row>
    <row r="7" spans="1:20" ht="19.95" customHeight="1" x14ac:dyDescent="0.3">
      <c r="D7" s="163"/>
      <c r="E7" s="164"/>
      <c r="F7" s="57" t="str">
        <f>"By clicking I ACCEPT, you represent that you are (a) preparing a post-construction submittal for "&amp;Tables!$F$39&amp;" and/or"</f>
        <v>By clicking I ACCEPT, you represent that you are (a) preparing a post-construction submittal for Baldwin County and/or</v>
      </c>
    </row>
    <row r="8" spans="1:20" ht="19.95" customHeight="1" x14ac:dyDescent="0.3">
      <c r="D8" s="163"/>
      <c r="E8" s="164"/>
      <c r="F8" s="57" t="s">
        <v>506</v>
      </c>
    </row>
    <row r="9" spans="1:20" ht="19.95" customHeight="1" x14ac:dyDescent="0.3">
      <c r="D9" s="163"/>
      <c r="E9" s="164"/>
      <c r="F9" s="57" t="s">
        <v>505</v>
      </c>
    </row>
    <row r="10" spans="1:20" ht="19.95" customHeight="1" x14ac:dyDescent="0.3">
      <c r="D10" s="163"/>
      <c r="E10" s="164"/>
    </row>
    <row r="11" spans="1:20" ht="19.95" customHeight="1" x14ac:dyDescent="0.3">
      <c r="D11" s="163">
        <v>1</v>
      </c>
      <c r="E11" s="9" t="s">
        <v>507</v>
      </c>
    </row>
    <row r="12" spans="1:20" ht="19.95" customHeight="1" x14ac:dyDescent="0.3">
      <c r="D12" s="163"/>
      <c r="E12" s="164"/>
      <c r="F12" s="57" t="s">
        <v>474</v>
      </c>
    </row>
    <row r="13" spans="1:20" ht="19.95" customHeight="1" x14ac:dyDescent="0.3">
      <c r="D13" s="163"/>
      <c r="E13" s="164"/>
      <c r="F13" s="57" t="str">
        <f>"and submit post-construction application materials to "&amp;Tables!$F$39&amp;" and for the User's internal recordkeeping for those"</f>
        <v>and submit post-construction application materials to Baldwin County and for the User's internal recordkeeping for those</v>
      </c>
    </row>
    <row r="14" spans="1:20" ht="19.95" customHeight="1" x14ac:dyDescent="0.3">
      <c r="D14" s="163"/>
      <c r="E14" s="164"/>
      <c r="F14" s="57" t="s">
        <v>475</v>
      </c>
    </row>
    <row r="15" spans="1:20" ht="19.95" customHeight="1" x14ac:dyDescent="0.3">
      <c r="D15" s="163"/>
      <c r="E15" s="164"/>
      <c r="F15" s="57" t="s">
        <v>508</v>
      </c>
    </row>
    <row r="16" spans="1:20" ht="19.95" customHeight="1" x14ac:dyDescent="0.3">
      <c r="D16" s="163">
        <v>2</v>
      </c>
      <c r="E16" s="9" t="s">
        <v>476</v>
      </c>
    </row>
    <row r="17" spans="4:6" ht="19.95" customHeight="1" x14ac:dyDescent="0.3">
      <c r="D17" s="163"/>
      <c r="E17" s="164"/>
      <c r="F17" s="57" t="s">
        <v>477</v>
      </c>
    </row>
    <row r="18" spans="4:6" ht="19.95" customHeight="1" x14ac:dyDescent="0.3">
      <c r="D18" s="163"/>
      <c r="E18" s="164"/>
      <c r="F18" s="57" t="s">
        <v>478</v>
      </c>
    </row>
    <row r="19" spans="4:6" ht="19.95" customHeight="1" x14ac:dyDescent="0.3">
      <c r="D19" s="163">
        <v>3</v>
      </c>
      <c r="E19" s="164" t="s">
        <v>479</v>
      </c>
    </row>
    <row r="20" spans="4:6" ht="19.95" customHeight="1" x14ac:dyDescent="0.3">
      <c r="D20" s="163"/>
      <c r="E20" s="164"/>
      <c r="F20" s="57" t="s">
        <v>488</v>
      </c>
    </row>
    <row r="21" spans="4:6" ht="19.95" customHeight="1" x14ac:dyDescent="0.3">
      <c r="D21" s="163"/>
      <c r="E21" s="164"/>
      <c r="F21" s="57" t="s">
        <v>509</v>
      </c>
    </row>
    <row r="22" spans="4:6" ht="19.95" customHeight="1" x14ac:dyDescent="0.3">
      <c r="D22" s="163"/>
      <c r="E22" s="164"/>
      <c r="F22" s="57" t="str">
        <f>"forms to the "&amp;Tables!$F$23&amp;" as intended.  The "&amp;Tables!$F$23&amp;" may host and distribute the unmodified Tool to prospective submitters for"</f>
        <v>forms to the County as intended.  The County may host and distribute the unmodified Tool to prospective submitters for</v>
      </c>
    </row>
    <row r="23" spans="4:6" ht="19.95" customHeight="1" x14ac:dyDescent="0.3">
      <c r="D23" s="163"/>
      <c r="E23" s="164"/>
      <c r="F23" s="57" t="s">
        <v>528</v>
      </c>
    </row>
    <row r="24" spans="4:6" ht="19.95" customHeight="1" x14ac:dyDescent="0.3">
      <c r="D24" s="163">
        <v>4</v>
      </c>
      <c r="E24" s="164" t="s">
        <v>480</v>
      </c>
    </row>
    <row r="25" spans="4:6" ht="19.95" customHeight="1" x14ac:dyDescent="0.3">
      <c r="D25" s="163"/>
      <c r="E25" s="164"/>
      <c r="F25" s="57" t="s">
        <v>489</v>
      </c>
    </row>
    <row r="26" spans="4:6" ht="19.95" customHeight="1" x14ac:dyDescent="0.3">
      <c r="D26" s="163"/>
      <c r="E26" s="164"/>
      <c r="F26" s="57" t="s">
        <v>510</v>
      </c>
    </row>
    <row r="27" spans="4:6" ht="19.95" customHeight="1" x14ac:dyDescent="0.3">
      <c r="D27" s="163"/>
      <c r="E27" s="164"/>
      <c r="F27" s="57" t="s">
        <v>511</v>
      </c>
    </row>
    <row r="28" spans="4:6" ht="19.95" customHeight="1" x14ac:dyDescent="0.3">
      <c r="D28" s="163">
        <v>5</v>
      </c>
      <c r="E28" s="164" t="s">
        <v>481</v>
      </c>
    </row>
    <row r="29" spans="4:6" ht="19.95" customHeight="1" x14ac:dyDescent="0.3">
      <c r="D29" s="163"/>
      <c r="E29" s="164"/>
      <c r="F29" s="57" t="str">
        <f>"Outputs and application materials generated with the Tool may be public records of "&amp;Tables!$F$39&amp;"; the Tool itself"</f>
        <v>Outputs and application materials generated with the Tool may be public records of Baldwin County; the Tool itself</v>
      </c>
    </row>
    <row r="30" spans="4:6" ht="19.95" customHeight="1" x14ac:dyDescent="0.3">
      <c r="D30" s="163"/>
      <c r="E30" s="164"/>
      <c r="F30" s="57" t="s">
        <v>512</v>
      </c>
    </row>
    <row r="31" spans="4:6" ht="19.95" customHeight="1" x14ac:dyDescent="0.3">
      <c r="D31" s="163">
        <v>6</v>
      </c>
      <c r="E31" s="164" t="s">
        <v>513</v>
      </c>
    </row>
    <row r="32" spans="4:6" ht="19.95" customHeight="1" x14ac:dyDescent="0.3">
      <c r="D32" s="163"/>
      <c r="E32" s="164"/>
      <c r="F32" s="57" t="str">
        <f>"The Tool is a convenience aid and does not constitute engineering, legal or compliance advice. The "&amp;Tables!$F$39&amp;"'s standards and"</f>
        <v>The Tool is a convenience aid and does not constitute engineering, legal or compliance advice. The Baldwin County's standards and</v>
      </c>
    </row>
    <row r="33" spans="4:6" ht="19.95" customHeight="1" x14ac:dyDescent="0.3">
      <c r="D33" s="163"/>
      <c r="E33" s="164"/>
      <c r="F33" s="57" t="s">
        <v>514</v>
      </c>
    </row>
    <row r="34" spans="4:6" ht="19.95" customHeight="1" x14ac:dyDescent="0.3">
      <c r="D34" s="163">
        <v>7</v>
      </c>
      <c r="E34" s="164" t="s">
        <v>482</v>
      </c>
    </row>
    <row r="35" spans="4:6" ht="19.95" customHeight="1" x14ac:dyDescent="0.3">
      <c r="D35" s="163"/>
      <c r="E35" s="164"/>
      <c r="F35" s="57" t="s">
        <v>515</v>
      </c>
    </row>
    <row r="36" spans="4:6" ht="19.95" customHeight="1" x14ac:dyDescent="0.3">
      <c r="D36" s="163"/>
      <c r="E36" s="164"/>
      <c r="F36" s="57" t="s">
        <v>529</v>
      </c>
    </row>
    <row r="37" spans="4:6" ht="19.95" customHeight="1" x14ac:dyDescent="0.3">
      <c r="D37" s="163"/>
      <c r="E37" s="164"/>
      <c r="F37" s="57" t="s">
        <v>490</v>
      </c>
    </row>
    <row r="38" spans="4:6" ht="19.95" customHeight="1" x14ac:dyDescent="0.3">
      <c r="D38" s="163">
        <v>8</v>
      </c>
      <c r="E38" s="164" t="s">
        <v>483</v>
      </c>
    </row>
    <row r="39" spans="4:6" ht="19.95" customHeight="1" x14ac:dyDescent="0.3">
      <c r="D39" s="163"/>
      <c r="E39" s="164"/>
      <c r="F39" s="57" t="s">
        <v>484</v>
      </c>
    </row>
    <row r="40" spans="4:6" ht="19.95" customHeight="1" x14ac:dyDescent="0.3">
      <c r="D40" s="163"/>
      <c r="E40" s="164"/>
      <c r="F40" s="57" t="s">
        <v>485</v>
      </c>
    </row>
    <row r="41" spans="4:6" ht="19.95" customHeight="1" x14ac:dyDescent="0.3">
      <c r="D41" s="163">
        <v>9</v>
      </c>
      <c r="E41" s="164" t="s">
        <v>516</v>
      </c>
    </row>
    <row r="42" spans="4:6" ht="19.95" customHeight="1" x14ac:dyDescent="0.3">
      <c r="D42" s="163"/>
      <c r="E42" s="164"/>
      <c r="F42" s="57" t="s">
        <v>517</v>
      </c>
    </row>
    <row r="43" spans="4:6" ht="19.95" customHeight="1" x14ac:dyDescent="0.3">
      <c r="D43" s="163">
        <v>10</v>
      </c>
      <c r="E43" s="164" t="s">
        <v>518</v>
      </c>
    </row>
    <row r="44" spans="4:6" ht="19.95" customHeight="1" x14ac:dyDescent="0.3">
      <c r="D44" s="163"/>
      <c r="E44" s="164"/>
      <c r="F44" s="57" t="s">
        <v>519</v>
      </c>
    </row>
    <row r="45" spans="4:6" ht="19.95" customHeight="1" x14ac:dyDescent="0.3">
      <c r="D45" s="163"/>
      <c r="E45" s="164"/>
      <c r="F45" s="57" t="s">
        <v>520</v>
      </c>
    </row>
    <row r="46" spans="4:6" ht="19.95" customHeight="1" x14ac:dyDescent="0.3">
      <c r="D46" s="163">
        <v>11</v>
      </c>
      <c r="E46" s="164" t="s">
        <v>521</v>
      </c>
    </row>
    <row r="47" spans="4:6" ht="19.95" customHeight="1" x14ac:dyDescent="0.3">
      <c r="D47" s="163"/>
      <c r="E47" s="164"/>
      <c r="F47" s="57" t="s">
        <v>522</v>
      </c>
    </row>
    <row r="48" spans="4:6" ht="19.95" customHeight="1" x14ac:dyDescent="0.3">
      <c r="D48" s="163"/>
      <c r="E48" s="164"/>
      <c r="F48" s="57" t="s">
        <v>523</v>
      </c>
    </row>
    <row r="49" spans="4:6" ht="19.95" customHeight="1" x14ac:dyDescent="0.3">
      <c r="D49" s="163"/>
      <c r="E49" s="164"/>
      <c r="F49" s="57" t="s">
        <v>524</v>
      </c>
    </row>
    <row r="50" spans="4:6" ht="19.95" customHeight="1" x14ac:dyDescent="0.3">
      <c r="D50" s="163"/>
      <c r="E50" s="164"/>
      <c r="F50" s="57" t="s">
        <v>525</v>
      </c>
    </row>
    <row r="51" spans="4:6" ht="19.95" customHeight="1" x14ac:dyDescent="0.3">
      <c r="D51" s="163">
        <v>12</v>
      </c>
      <c r="E51" s="164" t="s">
        <v>486</v>
      </c>
    </row>
    <row r="52" spans="4:6" ht="19.95" customHeight="1" x14ac:dyDescent="0.3">
      <c r="D52" s="163"/>
      <c r="E52" s="164"/>
      <c r="F52" s="57" t="s">
        <v>526</v>
      </c>
    </row>
    <row r="53" spans="4:6" ht="19.95" customHeight="1" x14ac:dyDescent="0.3">
      <c r="D53" s="163"/>
      <c r="E53" s="164"/>
    </row>
    <row r="54" spans="4:6" ht="19.95" customHeight="1" x14ac:dyDescent="0.3">
      <c r="D54" s="163"/>
      <c r="E54" s="164"/>
    </row>
    <row r="55" spans="4:6" ht="19.95" customHeight="1" x14ac:dyDescent="0.3">
      <c r="D55" s="163"/>
      <c r="E55" s="164"/>
    </row>
  </sheetData>
  <sheetProtection algorithmName="SHA-512" hashValue="OTTzi6dmwPOWQlw62qPVXowOZvP7PMm9eKIbS/s9hvVzcA2VR07RnmdLj7NQ+o7MLY+3iqA5YEqyUI+iX1hixQ==" saltValue="iueD3mmnz4CH8JQhBLyCVg==" spinCount="100000" sheet="1" objects="1" scenarios="1" selectLockedCells="1"/>
  <mergeCells count="3">
    <mergeCell ref="F3:H3"/>
    <mergeCell ref="O2:S2"/>
    <mergeCell ref="O1:S1"/>
  </mergeCells>
  <conditionalFormatting sqref="F2">
    <cfRule type="expression" dxfId="338" priority="1445">
      <formula>$A$2=2</formula>
    </cfRule>
  </conditionalFormatting>
  <conditionalFormatting sqref="F3:H3">
    <cfRule type="expression" dxfId="337" priority="1446">
      <formula>$A$3=2</formula>
    </cfRule>
    <cfRule type="expression" dxfId="336" priority="1447">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E8D3736-A416-4CBD-8944-80A6382E9205}">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F372-B532-449D-9FA5-65D10282E9F1}">
  <sheetPr codeName="Sheet4">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57" customWidth="1"/>
    <col min="2" max="2" width="5.77734375" style="56" customWidth="1"/>
    <col min="3" max="8" width="2.77734375" style="57" customWidth="1"/>
    <col min="9" max="10" width="8.88671875" style="57" customWidth="1"/>
    <col min="11" max="11" width="20.5546875" style="57" customWidth="1"/>
    <col min="12" max="16" width="8.88671875" style="57" customWidth="1"/>
    <col min="17" max="18" width="10.77734375" style="57" customWidth="1"/>
    <col min="19" max="22" width="8.88671875" style="57" customWidth="1"/>
    <col min="23" max="16384" width="8.88671875" style="57" hidden="1"/>
  </cols>
  <sheetData>
    <row r="1" spans="2:17" ht="19.95" customHeight="1" x14ac:dyDescent="0.3"/>
    <row r="2" spans="2:17" ht="19.95" customHeight="1" x14ac:dyDescent="0.3">
      <c r="B2" s="58" t="s">
        <v>61</v>
      </c>
    </row>
    <row r="3" spans="2:17" ht="4.95" customHeight="1" x14ac:dyDescent="0.3">
      <c r="B3" s="58"/>
    </row>
    <row r="4" spans="2:17" ht="19.95" customHeight="1" x14ac:dyDescent="0.3">
      <c r="B4" s="56">
        <v>1</v>
      </c>
      <c r="C4" s="174" t="s">
        <v>251</v>
      </c>
      <c r="D4" s="174"/>
      <c r="E4" s="174"/>
      <c r="F4" s="174"/>
      <c r="G4" s="174"/>
      <c r="H4" s="174"/>
      <c r="I4" s="174"/>
      <c r="J4" s="174"/>
      <c r="K4" s="174"/>
      <c r="L4" s="174"/>
      <c r="M4" s="174"/>
      <c r="N4" s="174"/>
      <c r="O4" s="174"/>
      <c r="P4" s="174"/>
      <c r="Q4" s="174"/>
    </row>
    <row r="5" spans="2:17" ht="19.95" customHeight="1" x14ac:dyDescent="0.3">
      <c r="C5" s="174"/>
      <c r="D5" s="174"/>
      <c r="E5" s="174"/>
      <c r="F5" s="174"/>
      <c r="G5" s="174"/>
      <c r="H5" s="174"/>
      <c r="I5" s="174"/>
      <c r="J5" s="174"/>
      <c r="K5" s="174"/>
      <c r="L5" s="174"/>
      <c r="M5" s="174"/>
      <c r="N5" s="174"/>
      <c r="O5" s="174"/>
      <c r="P5" s="174"/>
      <c r="Q5" s="174"/>
    </row>
    <row r="6" spans="2:17" ht="19.95" customHeight="1" x14ac:dyDescent="0.3">
      <c r="B6" s="56">
        <f>B4+1</f>
        <v>2</v>
      </c>
      <c r="C6" s="57" t="s">
        <v>62</v>
      </c>
    </row>
    <row r="7" spans="2:17" ht="19.95" customHeight="1" x14ac:dyDescent="0.3">
      <c r="C7" s="59"/>
      <c r="D7" s="59"/>
      <c r="E7" s="59"/>
      <c r="F7" s="59"/>
      <c r="I7" s="57" t="s">
        <v>60</v>
      </c>
    </row>
    <row r="8" spans="2:17" ht="10.050000000000001" customHeight="1" x14ac:dyDescent="0.3"/>
    <row r="9" spans="2:17" ht="15" customHeight="1" x14ac:dyDescent="0.3">
      <c r="C9" s="60"/>
      <c r="D9" s="60"/>
      <c r="E9" s="60"/>
      <c r="F9" s="60"/>
      <c r="I9" s="174" t="s">
        <v>207</v>
      </c>
      <c r="J9" s="174"/>
      <c r="K9" s="174"/>
      <c r="L9" s="174"/>
      <c r="M9" s="174"/>
      <c r="N9" s="174"/>
      <c r="O9" s="174"/>
      <c r="P9" s="174"/>
      <c r="Q9" s="174"/>
    </row>
    <row r="10" spans="2:17" ht="15" customHeight="1" x14ac:dyDescent="0.3">
      <c r="I10" s="174"/>
      <c r="J10" s="174"/>
      <c r="K10" s="174"/>
      <c r="L10" s="174"/>
      <c r="M10" s="174"/>
      <c r="N10" s="174"/>
      <c r="O10" s="174"/>
      <c r="P10" s="174"/>
      <c r="Q10" s="174"/>
    </row>
    <row r="11" spans="2:17" ht="10.050000000000001" customHeight="1" x14ac:dyDescent="0.3">
      <c r="I11" s="61"/>
      <c r="J11" s="61"/>
      <c r="K11" s="61"/>
      <c r="L11" s="61"/>
      <c r="M11" s="61"/>
      <c r="N11" s="61"/>
      <c r="O11" s="61"/>
      <c r="P11" s="61"/>
      <c r="Q11" s="61"/>
    </row>
    <row r="12" spans="2:17" ht="15" customHeight="1" x14ac:dyDescent="0.3">
      <c r="F12" s="48"/>
      <c r="I12" s="174" t="s">
        <v>259</v>
      </c>
      <c r="J12" s="174"/>
      <c r="K12" s="174"/>
      <c r="L12" s="174"/>
      <c r="M12" s="174"/>
      <c r="N12" s="174"/>
      <c r="O12" s="174"/>
      <c r="P12" s="174"/>
      <c r="Q12" s="174"/>
    </row>
    <row r="13" spans="2:17" ht="15" customHeight="1" x14ac:dyDescent="0.3">
      <c r="I13" s="174"/>
      <c r="J13" s="174"/>
      <c r="K13" s="174"/>
      <c r="L13" s="174"/>
      <c r="M13" s="174"/>
      <c r="N13" s="174"/>
      <c r="O13" s="174"/>
      <c r="P13" s="174"/>
      <c r="Q13" s="174"/>
    </row>
    <row r="14" spans="2:17" ht="15" customHeight="1" x14ac:dyDescent="0.3">
      <c r="I14" s="174"/>
      <c r="J14" s="174"/>
      <c r="K14" s="174"/>
      <c r="L14" s="174"/>
      <c r="M14" s="174"/>
      <c r="N14" s="174"/>
      <c r="O14" s="174"/>
      <c r="P14" s="174"/>
      <c r="Q14" s="174"/>
    </row>
    <row r="15" spans="2:17" ht="15" customHeight="1" x14ac:dyDescent="0.3">
      <c r="I15" s="174"/>
      <c r="J15" s="174"/>
      <c r="K15" s="174"/>
      <c r="L15" s="174"/>
      <c r="M15" s="174"/>
      <c r="N15" s="174"/>
      <c r="O15" s="174"/>
      <c r="P15" s="174"/>
      <c r="Q15" s="174"/>
    </row>
    <row r="16" spans="2:17" ht="10.050000000000001" customHeight="1" x14ac:dyDescent="0.3">
      <c r="I16" s="62"/>
      <c r="J16" s="62"/>
      <c r="K16" s="62"/>
      <c r="L16" s="62"/>
      <c r="M16" s="62"/>
      <c r="N16" s="62"/>
      <c r="O16" s="62"/>
      <c r="P16" s="62"/>
      <c r="Q16" s="62"/>
    </row>
    <row r="17" spans="3:17" ht="15" customHeight="1" x14ac:dyDescent="0.3">
      <c r="C17" s="48"/>
      <c r="D17" s="4" t="s">
        <v>120</v>
      </c>
      <c r="E17" s="4"/>
      <c r="F17" s="48"/>
      <c r="G17" s="4" t="s">
        <v>121</v>
      </c>
      <c r="I17" s="174" t="s">
        <v>165</v>
      </c>
      <c r="J17" s="174"/>
      <c r="K17" s="174"/>
      <c r="L17" s="174"/>
      <c r="M17" s="174"/>
      <c r="N17" s="174"/>
      <c r="O17" s="174"/>
      <c r="P17" s="174"/>
      <c r="Q17" s="174"/>
    </row>
    <row r="18" spans="3:17" ht="15" customHeight="1" x14ac:dyDescent="0.3">
      <c r="I18" s="174"/>
      <c r="J18" s="174"/>
      <c r="K18" s="174"/>
      <c r="L18" s="174"/>
      <c r="M18" s="174"/>
      <c r="N18" s="174"/>
      <c r="O18" s="174"/>
      <c r="P18" s="174"/>
      <c r="Q18" s="174"/>
    </row>
    <row r="19" spans="3:17" ht="10.050000000000001" customHeight="1" x14ac:dyDescent="0.3"/>
    <row r="20" spans="3:17" ht="15" customHeight="1" x14ac:dyDescent="0.3">
      <c r="C20" s="63"/>
      <c r="D20" s="63"/>
      <c r="E20" s="63"/>
      <c r="F20" s="63"/>
      <c r="I20" s="174" t="s">
        <v>202</v>
      </c>
      <c r="J20" s="174"/>
      <c r="K20" s="174"/>
      <c r="L20" s="174"/>
      <c r="M20" s="174"/>
      <c r="N20" s="174"/>
      <c r="O20" s="174"/>
      <c r="P20" s="174"/>
      <c r="Q20" s="174"/>
    </row>
    <row r="21" spans="3:17" ht="15" customHeight="1" x14ac:dyDescent="0.3">
      <c r="I21" s="174"/>
      <c r="J21" s="174"/>
      <c r="K21" s="174"/>
      <c r="L21" s="174"/>
      <c r="M21" s="174"/>
      <c r="N21" s="174"/>
      <c r="O21" s="174"/>
      <c r="P21" s="174"/>
      <c r="Q21" s="174"/>
    </row>
    <row r="22" spans="3:17" ht="15" customHeight="1" x14ac:dyDescent="0.3">
      <c r="I22" s="174"/>
      <c r="J22" s="174"/>
      <c r="K22" s="174"/>
      <c r="L22" s="174"/>
      <c r="M22" s="174"/>
      <c r="N22" s="174"/>
      <c r="O22" s="174"/>
      <c r="P22" s="174"/>
      <c r="Q22" s="174"/>
    </row>
    <row r="23" spans="3:17" ht="19.95" customHeight="1" x14ac:dyDescent="0.3">
      <c r="I23" s="174"/>
      <c r="J23" s="174"/>
      <c r="K23" s="174"/>
      <c r="L23" s="174"/>
      <c r="M23" s="174"/>
      <c r="N23" s="174"/>
      <c r="O23" s="174"/>
      <c r="P23" s="174"/>
      <c r="Q23" s="174"/>
    </row>
    <row r="24" spans="3:17" ht="10.050000000000001" customHeight="1" x14ac:dyDescent="0.3">
      <c r="I24" s="62"/>
      <c r="J24" s="62"/>
      <c r="K24" s="62"/>
      <c r="L24" s="62"/>
      <c r="M24" s="62"/>
      <c r="N24" s="62"/>
      <c r="O24" s="62"/>
      <c r="P24" s="62"/>
      <c r="Q24" s="62"/>
    </row>
    <row r="25" spans="3:17" ht="15" customHeight="1" x14ac:dyDescent="0.3">
      <c r="C25" s="64"/>
      <c r="D25" s="64"/>
      <c r="E25" s="64"/>
      <c r="F25" s="64"/>
      <c r="I25" s="174" t="s">
        <v>112</v>
      </c>
      <c r="J25" s="174"/>
      <c r="K25" s="174"/>
      <c r="L25" s="174"/>
      <c r="M25" s="174"/>
      <c r="N25" s="174"/>
      <c r="O25" s="174"/>
      <c r="P25" s="174"/>
      <c r="Q25" s="174"/>
    </row>
    <row r="26" spans="3:17" ht="15" customHeight="1" x14ac:dyDescent="0.3">
      <c r="I26" s="174"/>
      <c r="J26" s="174"/>
      <c r="K26" s="174"/>
      <c r="L26" s="174"/>
      <c r="M26" s="174"/>
      <c r="N26" s="174"/>
      <c r="O26" s="174"/>
      <c r="P26" s="174"/>
      <c r="Q26" s="174"/>
    </row>
    <row r="27" spans="3:17" ht="10.050000000000001" customHeight="1" x14ac:dyDescent="0.3"/>
    <row r="28" spans="3:17" ht="19.95" customHeight="1" x14ac:dyDescent="0.3">
      <c r="C28" s="65" t="s">
        <v>28</v>
      </c>
      <c r="D28" s="65"/>
      <c r="E28" s="65"/>
      <c r="F28" s="65"/>
      <c r="I28" s="57" t="s">
        <v>250</v>
      </c>
    </row>
    <row r="29" spans="3:17" ht="10.050000000000001" customHeight="1" x14ac:dyDescent="0.3"/>
    <row r="30" spans="3:17" ht="19.95" customHeight="1" x14ac:dyDescent="0.3">
      <c r="C30" s="9" t="s">
        <v>30</v>
      </c>
      <c r="D30" s="9"/>
      <c r="E30" s="9"/>
      <c r="F30" s="9"/>
      <c r="I30" s="57" t="s">
        <v>64</v>
      </c>
    </row>
    <row r="31" spans="3:17" ht="10.050000000000001" customHeight="1" x14ac:dyDescent="0.3"/>
    <row r="32" spans="3:17" ht="19.95" customHeight="1" x14ac:dyDescent="0.3">
      <c r="C32" s="9" t="s">
        <v>20</v>
      </c>
      <c r="D32" s="9"/>
      <c r="E32" s="9"/>
      <c r="F32" s="9"/>
      <c r="I32" s="57" t="s">
        <v>113</v>
      </c>
    </row>
    <row r="33" spans="2:17" ht="10.050000000000001" customHeight="1" x14ac:dyDescent="0.3"/>
    <row r="34" spans="2:17" ht="19.95" customHeight="1" x14ac:dyDescent="0.3">
      <c r="B34" s="56">
        <f>B6+1</f>
        <v>3</v>
      </c>
      <c r="C34" s="57" t="s">
        <v>166</v>
      </c>
    </row>
    <row r="35" spans="2:17" ht="19.95" customHeight="1" x14ac:dyDescent="0.3">
      <c r="B35" s="56">
        <f>B34+1</f>
        <v>4</v>
      </c>
      <c r="C35" s="174" t="s">
        <v>167</v>
      </c>
      <c r="D35" s="174"/>
      <c r="E35" s="174"/>
      <c r="F35" s="174"/>
      <c r="G35" s="174"/>
      <c r="H35" s="174"/>
      <c r="I35" s="174"/>
      <c r="J35" s="174"/>
      <c r="K35" s="174"/>
      <c r="L35" s="174"/>
      <c r="M35" s="174"/>
      <c r="N35" s="174"/>
      <c r="O35" s="174"/>
      <c r="P35" s="174"/>
      <c r="Q35" s="174"/>
    </row>
    <row r="36" spans="2:17" ht="15" customHeight="1" x14ac:dyDescent="0.3">
      <c r="C36" s="174"/>
      <c r="D36" s="174"/>
      <c r="E36" s="174"/>
      <c r="F36" s="174"/>
      <c r="G36" s="174"/>
      <c r="H36" s="174"/>
      <c r="I36" s="174"/>
      <c r="J36" s="174"/>
      <c r="K36" s="174"/>
      <c r="L36" s="174"/>
      <c r="M36" s="174"/>
      <c r="N36" s="174"/>
      <c r="O36" s="174"/>
      <c r="P36" s="174"/>
      <c r="Q36" s="174"/>
    </row>
    <row r="37" spans="2:17" ht="19.95" customHeight="1" x14ac:dyDescent="0.3">
      <c r="B37" s="56">
        <v>5</v>
      </c>
      <c r="C37" s="174" t="s">
        <v>168</v>
      </c>
      <c r="D37" s="174"/>
      <c r="E37" s="174"/>
      <c r="F37" s="174"/>
      <c r="G37" s="174"/>
      <c r="H37" s="174"/>
      <c r="I37" s="174"/>
      <c r="J37" s="174"/>
      <c r="K37" s="174"/>
      <c r="L37" s="174"/>
      <c r="M37" s="174"/>
      <c r="N37" s="174"/>
      <c r="O37" s="174"/>
      <c r="P37" s="174"/>
      <c r="Q37" s="174"/>
    </row>
    <row r="38" spans="2:17" ht="19.95" customHeight="1" x14ac:dyDescent="0.3">
      <c r="C38" s="174"/>
      <c r="D38" s="174"/>
      <c r="E38" s="174"/>
      <c r="F38" s="174"/>
      <c r="G38" s="174"/>
      <c r="H38" s="174"/>
      <c r="I38" s="174"/>
      <c r="J38" s="174"/>
      <c r="K38" s="174"/>
      <c r="L38" s="174"/>
      <c r="M38" s="174"/>
      <c r="N38" s="174"/>
      <c r="O38" s="174"/>
      <c r="P38" s="174"/>
      <c r="Q38" s="174"/>
    </row>
    <row r="39" spans="2:17" ht="12" customHeight="1" x14ac:dyDescent="0.3">
      <c r="C39" s="174"/>
      <c r="D39" s="174"/>
      <c r="E39" s="174"/>
      <c r="F39" s="174"/>
      <c r="G39" s="174"/>
      <c r="H39" s="174"/>
      <c r="I39" s="174"/>
      <c r="J39" s="174"/>
      <c r="K39" s="174"/>
      <c r="L39" s="174"/>
      <c r="M39" s="174"/>
      <c r="N39" s="174"/>
      <c r="O39" s="174"/>
      <c r="P39" s="174"/>
      <c r="Q39" s="174"/>
    </row>
    <row r="40" spans="2:17" ht="19.95" customHeight="1" x14ac:dyDescent="0.3">
      <c r="B40" s="56">
        <v>6</v>
      </c>
      <c r="C40" s="57" t="s">
        <v>196</v>
      </c>
    </row>
    <row r="41" spans="2:17" ht="19.95" customHeight="1" x14ac:dyDescent="0.3"/>
    <row r="42" spans="2:17" ht="19.95" customHeight="1" x14ac:dyDescent="0.3"/>
    <row r="43" spans="2:17" ht="19.95" customHeight="1" x14ac:dyDescent="0.3"/>
    <row r="44" spans="2:17" ht="19.95" customHeight="1" x14ac:dyDescent="0.3"/>
    <row r="45" spans="2:17" ht="19.95" customHeight="1" x14ac:dyDescent="0.3"/>
    <row r="46" spans="2:17" ht="19.95" customHeight="1" x14ac:dyDescent="0.3"/>
    <row r="47" spans="2:17" ht="19.95" customHeight="1" x14ac:dyDescent="0.3"/>
    <row r="48" spans="2:17" ht="19.95" customHeight="1" x14ac:dyDescent="0.3"/>
    <row r="49" ht="19.95" customHeight="1" x14ac:dyDescent="0.3"/>
    <row r="50" ht="19.95" customHeight="1" x14ac:dyDescent="0.3"/>
    <row r="51" ht="19.95" customHeight="1" x14ac:dyDescent="0.3"/>
    <row r="52" ht="19.95" customHeight="1" x14ac:dyDescent="0.3"/>
    <row r="53" ht="19.95" customHeight="1" x14ac:dyDescent="0.3"/>
    <row r="54" ht="19.95" customHeight="1" x14ac:dyDescent="0.3"/>
    <row r="55" ht="19.95" customHeight="1" x14ac:dyDescent="0.3"/>
    <row r="56" ht="19.95" customHeight="1" x14ac:dyDescent="0.3"/>
    <row r="57" ht="19.95" customHeight="1" x14ac:dyDescent="0.3"/>
  </sheetData>
  <sheetProtection algorithmName="SHA-512" hashValue="ul6IvcGrrjE7Hx8p4b+aVtQ2/gPUG2tK5wiPRMN3OAQfOLZV4zB5seOmXM4wolxFCvRfqICcbayXJ3N9gAcJ/Q==" saltValue="2INk8RfAGBt9u9KAFK6m7Q=="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335" priority="3">
      <formula>ISBLANK(C17)</formula>
    </cfRule>
  </conditionalFormatting>
  <conditionalFormatting sqref="C9:F9">
    <cfRule type="expression" dxfId="334" priority="5">
      <formula>ISBLANK(C9)</formula>
    </cfRule>
  </conditionalFormatting>
  <conditionalFormatting sqref="F12">
    <cfRule type="expression" dxfId="333" priority="4">
      <formula>ISBLANK(F12)</formula>
    </cfRule>
  </conditionalFormatting>
  <conditionalFormatting sqref="F17">
    <cfRule type="expression" dxfId="332" priority="2">
      <formula>ISBLANK(F17)</formula>
    </cfRule>
  </conditionalFormatting>
  <pageMargins left="0.2" right="0.2" top="0.5" bottom="0.25" header="0.3" footer="0.3"/>
  <pageSetup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F203"/>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7" width="2.77734375" style="4" customWidth="1"/>
    <col min="38" max="38" width="10.33203125" style="42" hidden="1" customWidth="1"/>
    <col min="39" max="39" width="11" style="42" hidden="1" customWidth="1"/>
    <col min="40" max="42" width="9.21875" style="42" hidden="1" customWidth="1"/>
    <col min="43" max="43" width="8.77734375" style="42" hidden="1" customWidth="1"/>
    <col min="44" max="45" width="20" style="42" hidden="1" customWidth="1"/>
    <col min="46" max="46" width="8.77734375" style="42" hidden="1" customWidth="1"/>
    <col min="47" max="47" width="2.77734375" style="4" customWidth="1"/>
    <col min="48" max="48" width="3.77734375" style="4" customWidth="1"/>
    <col min="49" max="84" width="2.77734375" style="4" customWidth="1"/>
    <col min="85" max="16384" width="8.88671875" style="4" hidden="1"/>
  </cols>
  <sheetData>
    <row r="1" spans="2:84" ht="15" customHeight="1" x14ac:dyDescent="0.3">
      <c r="V1" s="22"/>
      <c r="W1" s="213" t="s">
        <v>317</v>
      </c>
      <c r="X1" s="213"/>
      <c r="Y1" s="213"/>
      <c r="Z1" s="213"/>
      <c r="AA1" s="213"/>
      <c r="AB1" s="213"/>
      <c r="AC1" s="213"/>
      <c r="AD1" s="213"/>
      <c r="AE1" s="213"/>
      <c r="AF1" s="213"/>
      <c r="AG1" s="213"/>
      <c r="AH1" s="213"/>
      <c r="AI1" s="213"/>
      <c r="AJ1" s="213"/>
      <c r="AK1" s="213"/>
      <c r="AL1" s="43"/>
      <c r="AM1" s="43"/>
      <c r="AN1" s="43"/>
      <c r="AO1" s="43"/>
      <c r="AP1" s="43"/>
      <c r="AQ1" s="43"/>
      <c r="AR1" s="43"/>
      <c r="AS1" s="43"/>
      <c r="AT1" s="43"/>
      <c r="BJ1" s="213" t="str">
        <f>W1</f>
        <v>Form 2A.1 - Detention Pond
Design Form</v>
      </c>
      <c r="BK1" s="213"/>
      <c r="BL1" s="213"/>
      <c r="BM1" s="213"/>
      <c r="BN1" s="213"/>
      <c r="BO1" s="213"/>
      <c r="BP1" s="213"/>
      <c r="BQ1" s="213"/>
      <c r="BR1" s="213"/>
      <c r="BS1" s="213"/>
      <c r="BT1" s="213"/>
      <c r="BU1" s="213"/>
      <c r="BV1" s="213"/>
      <c r="BW1" s="213"/>
      <c r="BX1" s="213"/>
      <c r="BY1" s="213"/>
      <c r="BZ1" s="213"/>
      <c r="CA1" s="213"/>
      <c r="CB1" s="213"/>
      <c r="CC1" s="213"/>
      <c r="CD1" s="11"/>
      <c r="CE1" s="11"/>
    </row>
    <row r="2" spans="2:84" ht="15" customHeight="1" x14ac:dyDescent="0.3">
      <c r="K2" s="5"/>
      <c r="Q2" s="5"/>
      <c r="R2" s="5"/>
      <c r="S2" s="5"/>
      <c r="T2" s="5"/>
      <c r="U2" s="22"/>
      <c r="V2" s="22"/>
      <c r="W2" s="213"/>
      <c r="X2" s="213"/>
      <c r="Y2" s="213"/>
      <c r="Z2" s="213"/>
      <c r="AA2" s="213"/>
      <c r="AB2" s="213"/>
      <c r="AC2" s="213"/>
      <c r="AD2" s="213"/>
      <c r="AE2" s="213"/>
      <c r="AF2" s="213"/>
      <c r="AG2" s="213"/>
      <c r="AH2" s="213"/>
      <c r="AI2" s="213"/>
      <c r="AJ2" s="213"/>
      <c r="AK2" s="213"/>
      <c r="AL2" s="43"/>
      <c r="AM2" s="43"/>
      <c r="AN2" s="43"/>
      <c r="AO2" s="43"/>
      <c r="AP2" s="43"/>
      <c r="AQ2" s="43"/>
      <c r="AR2" s="43"/>
      <c r="AS2" s="43"/>
      <c r="AT2" s="43"/>
      <c r="BJ2" s="213"/>
      <c r="BK2" s="213"/>
      <c r="BL2" s="213"/>
      <c r="BM2" s="213"/>
      <c r="BN2" s="213"/>
      <c r="BO2" s="213"/>
      <c r="BP2" s="213"/>
      <c r="BQ2" s="213"/>
      <c r="BR2" s="213"/>
      <c r="BS2" s="213"/>
      <c r="BT2" s="213"/>
      <c r="BU2" s="213"/>
      <c r="BV2" s="213"/>
      <c r="BW2" s="213"/>
      <c r="BX2" s="213"/>
      <c r="BY2" s="213"/>
      <c r="BZ2" s="213"/>
      <c r="CA2" s="213"/>
      <c r="CB2" s="213"/>
      <c r="CC2" s="213"/>
      <c r="CD2" s="11"/>
      <c r="CE2" s="11"/>
    </row>
    <row r="3" spans="2:84" ht="15" customHeight="1" x14ac:dyDescent="0.3">
      <c r="K3" s="5"/>
      <c r="L3" s="5"/>
      <c r="M3" s="5"/>
      <c r="N3" s="5"/>
      <c r="O3" s="5"/>
      <c r="P3" s="5"/>
      <c r="Q3" s="5"/>
      <c r="R3" s="5"/>
      <c r="S3" s="5"/>
      <c r="T3" s="5"/>
      <c r="U3" s="22"/>
      <c r="V3" s="22"/>
      <c r="W3" s="213"/>
      <c r="X3" s="213"/>
      <c r="Y3" s="213"/>
      <c r="Z3" s="213"/>
      <c r="AA3" s="213"/>
      <c r="AB3" s="213"/>
      <c r="AC3" s="213"/>
      <c r="AD3" s="213"/>
      <c r="AE3" s="213"/>
      <c r="AF3" s="213"/>
      <c r="AG3" s="213"/>
      <c r="AH3" s="213"/>
      <c r="AI3" s="213"/>
      <c r="AJ3" s="213"/>
      <c r="AK3" s="213"/>
      <c r="AL3" s="43"/>
      <c r="AM3" s="43"/>
      <c r="AN3" s="43"/>
      <c r="AO3" s="43"/>
      <c r="AP3" s="43"/>
      <c r="AQ3" s="43"/>
      <c r="AR3" s="43"/>
      <c r="AS3" s="43"/>
      <c r="AT3" s="43"/>
      <c r="BJ3" s="213"/>
      <c r="BK3" s="213"/>
      <c r="BL3" s="213"/>
      <c r="BM3" s="213"/>
      <c r="BN3" s="213"/>
      <c r="BO3" s="213"/>
      <c r="BP3" s="213"/>
      <c r="BQ3" s="213"/>
      <c r="BR3" s="213"/>
      <c r="BS3" s="213"/>
      <c r="BT3" s="213"/>
      <c r="BU3" s="213"/>
      <c r="BV3" s="213"/>
      <c r="BW3" s="213"/>
      <c r="BX3" s="213"/>
      <c r="BY3" s="213"/>
      <c r="BZ3" s="213"/>
      <c r="CA3" s="213"/>
      <c r="CB3" s="213"/>
      <c r="CC3" s="213"/>
      <c r="CD3" s="11"/>
      <c r="CE3" s="11"/>
    </row>
    <row r="4" spans="2:84" ht="15" customHeight="1" x14ac:dyDescent="0.3">
      <c r="K4" s="5"/>
      <c r="L4" s="5"/>
      <c r="M4" s="5"/>
      <c r="N4" s="5"/>
      <c r="O4" s="5"/>
      <c r="P4" s="5"/>
      <c r="Q4" s="5"/>
      <c r="R4" s="5"/>
      <c r="S4" s="5"/>
      <c r="T4" s="5"/>
      <c r="U4" s="22"/>
      <c r="V4" s="22"/>
      <c r="W4" s="213"/>
      <c r="X4" s="213"/>
      <c r="Y4" s="213"/>
      <c r="Z4" s="213"/>
      <c r="AA4" s="213"/>
      <c r="AB4" s="213"/>
      <c r="AC4" s="213"/>
      <c r="AD4" s="213"/>
      <c r="AE4" s="213"/>
      <c r="AF4" s="213"/>
      <c r="AG4" s="213"/>
      <c r="AH4" s="213"/>
      <c r="AI4" s="213"/>
      <c r="AJ4" s="213"/>
      <c r="AK4" s="213"/>
      <c r="AL4" s="43"/>
      <c r="AM4" s="43"/>
      <c r="AN4" s="43"/>
      <c r="AO4" s="43"/>
      <c r="AP4" s="43"/>
      <c r="AQ4" s="43"/>
      <c r="AR4" s="43"/>
      <c r="AS4" s="43"/>
      <c r="AT4" s="43"/>
      <c r="BJ4" s="213"/>
      <c r="BK4" s="213"/>
      <c r="BL4" s="213"/>
      <c r="BM4" s="213"/>
      <c r="BN4" s="213"/>
      <c r="BO4" s="213"/>
      <c r="BP4" s="213"/>
      <c r="BQ4" s="213"/>
      <c r="BR4" s="213"/>
      <c r="BS4" s="213"/>
      <c r="BT4" s="213"/>
      <c r="BU4" s="213"/>
      <c r="BV4" s="213"/>
      <c r="BW4" s="213"/>
      <c r="BX4" s="213"/>
      <c r="BY4" s="213"/>
      <c r="BZ4" s="213"/>
      <c r="CA4" s="213"/>
      <c r="CB4" s="213"/>
      <c r="CC4" s="213"/>
      <c r="CD4" s="11"/>
      <c r="CE4" s="11"/>
    </row>
    <row r="5" spans="2:84" ht="4.95" customHeight="1" x14ac:dyDescent="0.3">
      <c r="K5" s="5"/>
      <c r="L5" s="5"/>
      <c r="M5" s="5"/>
      <c r="N5" s="5"/>
      <c r="O5" s="5"/>
      <c r="P5" s="5"/>
      <c r="Q5" s="5"/>
      <c r="R5" s="5"/>
      <c r="S5" s="5"/>
      <c r="T5" s="5"/>
      <c r="U5" s="22"/>
      <c r="V5" s="22"/>
      <c r="W5" s="11"/>
      <c r="X5" s="11"/>
      <c r="Y5" s="11"/>
      <c r="Z5" s="11"/>
      <c r="AA5" s="11"/>
      <c r="AB5" s="11"/>
      <c r="AC5" s="11"/>
      <c r="AD5" s="11"/>
      <c r="AE5" s="11"/>
      <c r="AF5" s="11"/>
      <c r="AG5" s="11"/>
      <c r="AH5" s="11"/>
      <c r="AI5" s="11"/>
      <c r="AJ5" s="11"/>
      <c r="AK5" s="11"/>
      <c r="AL5" s="43"/>
      <c r="AM5" s="43"/>
      <c r="AN5" s="43"/>
      <c r="AO5" s="43"/>
      <c r="AP5" s="43"/>
      <c r="AQ5" s="43"/>
      <c r="AR5" s="43"/>
      <c r="AS5" s="43"/>
      <c r="AT5" s="43"/>
      <c r="BJ5" s="11"/>
      <c r="BK5" s="11"/>
      <c r="BL5" s="11"/>
      <c r="BM5" s="11"/>
      <c r="BN5" s="11"/>
      <c r="BO5" s="11"/>
      <c r="BP5" s="11"/>
      <c r="BQ5" s="11"/>
      <c r="BR5" s="11"/>
      <c r="BS5" s="11"/>
      <c r="BT5" s="11"/>
      <c r="BU5" s="11"/>
      <c r="BV5" s="11"/>
      <c r="BW5" s="11"/>
      <c r="BX5" s="11"/>
      <c r="BY5" s="11"/>
      <c r="BZ5" s="11"/>
      <c r="CA5" s="11"/>
      <c r="CB5" s="11"/>
      <c r="CC5" s="11"/>
      <c r="CD5" s="11"/>
      <c r="CE5" s="11"/>
    </row>
    <row r="6" spans="2:84" ht="15" customHeight="1" x14ac:dyDescent="0.3">
      <c r="B6" s="1" t="s">
        <v>0</v>
      </c>
      <c r="C6" s="1"/>
      <c r="D6" s="1"/>
      <c r="E6" s="1"/>
      <c r="F6" s="1"/>
      <c r="G6" s="1"/>
      <c r="H6" s="1"/>
      <c r="I6" s="1"/>
      <c r="J6" s="1"/>
      <c r="AC6" s="2" t="s">
        <v>381</v>
      </c>
      <c r="AD6" s="222"/>
      <c r="AE6" s="222"/>
      <c r="AF6" s="222"/>
      <c r="AG6" s="222"/>
      <c r="AH6" s="222"/>
      <c r="AI6" s="222"/>
      <c r="AJ6" s="222"/>
      <c r="AL6" s="43"/>
      <c r="AM6" s="43"/>
      <c r="BJ6"/>
      <c r="BK6"/>
      <c r="BL6"/>
      <c r="BM6"/>
      <c r="BN6"/>
      <c r="BO6"/>
      <c r="BP6"/>
      <c r="BQ6"/>
      <c r="BR6"/>
      <c r="BS6"/>
      <c r="BT6"/>
      <c r="BU6"/>
      <c r="BV6"/>
      <c r="BW6"/>
      <c r="BX6"/>
      <c r="BY6"/>
      <c r="BZ6"/>
      <c r="CA6"/>
      <c r="CB6"/>
      <c r="CC6"/>
      <c r="CD6"/>
      <c r="CE6"/>
      <c r="CF6"/>
    </row>
    <row r="7" spans="2:84" ht="15" customHeight="1" x14ac:dyDescent="0.3">
      <c r="C7" s="2"/>
      <c r="D7" s="2" t="s">
        <v>131</v>
      </c>
      <c r="E7" s="193"/>
      <c r="F7" s="193"/>
      <c r="G7" s="193"/>
      <c r="H7" s="193"/>
      <c r="I7" s="193"/>
      <c r="J7" s="193"/>
      <c r="K7" s="193"/>
      <c r="L7" s="193"/>
      <c r="M7" s="193"/>
      <c r="N7" s="193"/>
      <c r="O7" s="193"/>
      <c r="P7" s="193"/>
      <c r="Q7" s="193"/>
      <c r="R7" s="193"/>
      <c r="S7" s="193"/>
      <c r="T7" s="193"/>
      <c r="U7" s="193"/>
      <c r="V7" s="193"/>
      <c r="W7" s="193"/>
      <c r="X7" s="193"/>
      <c r="AD7" s="2" t="s">
        <v>158</v>
      </c>
      <c r="AE7" s="211"/>
      <c r="AF7" s="211"/>
      <c r="AG7" s="211"/>
      <c r="AH7" s="211"/>
      <c r="AI7" s="211"/>
      <c r="AJ7" s="211"/>
      <c r="AV7" s="216" t="s">
        <v>63</v>
      </c>
      <c r="AW7" s="216"/>
      <c r="AX7" s="216"/>
      <c r="AY7" s="216"/>
      <c r="AZ7" s="216"/>
      <c r="BA7" s="216"/>
      <c r="BB7" s="216"/>
      <c r="BC7" s="216"/>
      <c r="BD7" s="216"/>
      <c r="BE7" s="216"/>
      <c r="BF7" s="216"/>
      <c r="BG7" s="216"/>
      <c r="BH7" s="216"/>
      <c r="BI7" s="216"/>
      <c r="BJ7" s="38"/>
      <c r="BK7" s="38"/>
      <c r="BL7" s="38"/>
      <c r="BM7" s="38"/>
      <c r="BN7" s="38"/>
      <c r="BO7" s="38"/>
      <c r="BP7" s="38"/>
      <c r="BQ7" s="38"/>
      <c r="BR7" s="38"/>
      <c r="BS7" s="38"/>
      <c r="BT7" s="38"/>
      <c r="BU7" s="38"/>
      <c r="BV7" s="38"/>
      <c r="BW7" s="38"/>
      <c r="BX7" s="38"/>
      <c r="BY7" s="38"/>
      <c r="BZ7" s="38"/>
      <c r="CA7" s="38"/>
      <c r="CB7" s="38"/>
      <c r="CC7" s="38"/>
      <c r="CD7" s="38"/>
      <c r="CE7" s="38"/>
      <c r="CF7" s="38"/>
    </row>
    <row r="8" spans="2:84" ht="15" customHeight="1" x14ac:dyDescent="0.3">
      <c r="C8" s="2"/>
      <c r="D8" s="2" t="s">
        <v>132</v>
      </c>
      <c r="E8" s="194"/>
      <c r="F8" s="194"/>
      <c r="G8" s="194"/>
      <c r="H8" s="194"/>
      <c r="I8" s="194"/>
      <c r="J8" s="194"/>
      <c r="K8" s="194"/>
      <c r="L8" s="194"/>
      <c r="M8" s="194"/>
      <c r="N8" s="194"/>
      <c r="O8" s="194"/>
      <c r="P8" s="194"/>
      <c r="Q8" s="194"/>
      <c r="R8" s="194"/>
      <c r="S8" s="194"/>
      <c r="T8" s="194"/>
      <c r="U8" s="194"/>
      <c r="V8" s="194"/>
      <c r="W8" s="194"/>
      <c r="X8" s="194"/>
      <c r="AD8" s="2" t="s">
        <v>159</v>
      </c>
      <c r="AE8" s="192"/>
      <c r="AF8" s="192"/>
      <c r="AG8" s="192"/>
      <c r="AH8" s="192"/>
      <c r="AI8" s="192"/>
      <c r="AJ8" s="192"/>
      <c r="AV8" s="216"/>
      <c r="AW8" s="216"/>
      <c r="AX8" s="216"/>
      <c r="AY8" s="216"/>
      <c r="AZ8" s="216"/>
      <c r="BA8" s="216"/>
      <c r="BB8" s="216"/>
      <c r="BC8" s="216"/>
      <c r="BD8" s="216"/>
      <c r="BE8" s="216"/>
      <c r="BF8" s="216"/>
      <c r="BG8" s="216"/>
      <c r="BH8" s="216"/>
      <c r="BI8" s="216"/>
      <c r="BJ8" s="36"/>
      <c r="BK8" s="36"/>
      <c r="BL8" s="36"/>
      <c r="BM8" s="36"/>
      <c r="BN8" s="36"/>
      <c r="BO8" s="36"/>
      <c r="BP8" s="36"/>
      <c r="BQ8" s="36"/>
      <c r="BR8" s="36"/>
      <c r="BS8" s="36"/>
      <c r="BT8" s="36"/>
      <c r="BU8" s="36"/>
      <c r="BV8" s="36"/>
      <c r="BW8" s="36"/>
      <c r="BX8" s="36"/>
      <c r="BY8" s="36"/>
      <c r="BZ8" s="36"/>
      <c r="CA8" s="36"/>
      <c r="CB8" s="36"/>
      <c r="CC8" s="36"/>
      <c r="CD8" s="36"/>
      <c r="CE8" s="36"/>
      <c r="CF8" s="36"/>
    </row>
    <row r="9" spans="2:84" ht="1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44"/>
      <c r="AM9" s="44"/>
      <c r="AN9" s="44"/>
      <c r="AO9" s="44"/>
      <c r="AP9" s="44"/>
      <c r="AQ9" s="44"/>
      <c r="AR9" s="44"/>
      <c r="AS9" s="44"/>
      <c r="AT9" s="44"/>
      <c r="AV9" s="21" t="s">
        <v>114</v>
      </c>
      <c r="BH9" s="36"/>
      <c r="BI9" s="36"/>
      <c r="BJ9" s="36"/>
      <c r="BK9" s="36"/>
      <c r="BL9" s="36"/>
      <c r="BM9" s="36"/>
      <c r="BN9" s="36"/>
      <c r="BO9" s="36"/>
      <c r="BP9" s="36"/>
      <c r="BQ9" s="36"/>
      <c r="BR9" s="36"/>
      <c r="BS9" s="36"/>
      <c r="BT9" s="36"/>
      <c r="BU9" s="36"/>
      <c r="BV9" s="36"/>
      <c r="BW9" s="36"/>
      <c r="BX9" s="36"/>
      <c r="BY9" s="36"/>
      <c r="BZ9" s="36"/>
      <c r="CA9" s="36"/>
      <c r="CB9" s="36"/>
      <c r="CC9" s="36"/>
      <c r="CD9" s="36"/>
      <c r="CE9" s="36"/>
      <c r="CF9" s="36"/>
    </row>
    <row r="10" spans="2:84" ht="15" customHeight="1" x14ac:dyDescent="0.3">
      <c r="B10" s="41" t="s">
        <v>118</v>
      </c>
      <c r="C10" s="41"/>
      <c r="D10" s="41"/>
      <c r="E10" s="41"/>
      <c r="F10" s="54"/>
      <c r="G10" s="4" t="s">
        <v>126</v>
      </c>
      <c r="M10" s="54"/>
      <c r="N10" s="4" t="s">
        <v>127</v>
      </c>
      <c r="T10" s="54"/>
      <c r="U10" s="4" t="s">
        <v>128</v>
      </c>
      <c r="AB10" s="54"/>
      <c r="AC10" s="4" t="str">
        <f>" "&amp;Tables!F37</f>
        <v xml:space="preserve"> Drainage Rights</v>
      </c>
      <c r="AV10" s="47">
        <v>1</v>
      </c>
      <c r="AW10" s="4" t="s">
        <v>280</v>
      </c>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row>
    <row r="11" spans="2:84" ht="15" customHeight="1" x14ac:dyDescent="0.3">
      <c r="F11" s="2"/>
      <c r="G11" s="2"/>
      <c r="H11" s="2"/>
      <c r="I11" s="2"/>
      <c r="J11" s="2"/>
      <c r="AV11" s="47"/>
      <c r="AW11" s="4" t="s">
        <v>432</v>
      </c>
    </row>
    <row r="12" spans="2:84" ht="14.55" customHeight="1" x14ac:dyDescent="0.3">
      <c r="F12" s="2" t="s">
        <v>365</v>
      </c>
      <c r="G12" s="54"/>
      <c r="H12" s="41" t="s">
        <v>298</v>
      </c>
      <c r="J12" s="46"/>
      <c r="K12" s="41" t="s">
        <v>299</v>
      </c>
      <c r="Z12" s="2" t="s">
        <v>208</v>
      </c>
      <c r="AA12" s="204"/>
      <c r="AB12" s="204"/>
      <c r="AC12" s="204"/>
      <c r="AD12" s="204"/>
      <c r="AE12" s="175" t="str">
        <f>IF($AM$14=0,"Units?",IF($AM$14=1,"ac",IF($AM$14=2,"sq-ft","Error")))</f>
        <v>Units?</v>
      </c>
      <c r="AF12" s="175"/>
      <c r="AL12" s="90">
        <f>IF(AND(ISBLANK(G12),ISBLANK(J12)),1,2)</f>
        <v>1</v>
      </c>
      <c r="AM12" s="90">
        <f>IF(ISBLANK(G12),0,1)</f>
        <v>0</v>
      </c>
      <c r="AO12" s="44" t="s">
        <v>366</v>
      </c>
      <c r="AP12" s="126">
        <f>IF($AM$14=2,AA13/43560,AA13)</f>
        <v>0</v>
      </c>
      <c r="AQ12" s="42" t="s">
        <v>367</v>
      </c>
      <c r="AV12" s="47">
        <f>AV10+1</f>
        <v>2</v>
      </c>
      <c r="AW12" s="41" t="s">
        <v>433</v>
      </c>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row>
    <row r="13" spans="2:84" ht="14.55" customHeight="1" x14ac:dyDescent="0.3">
      <c r="B13" s="4" t="s">
        <v>2</v>
      </c>
      <c r="Z13" s="2" t="s">
        <v>215</v>
      </c>
      <c r="AA13" s="204"/>
      <c r="AB13" s="204"/>
      <c r="AC13" s="204"/>
      <c r="AD13" s="204"/>
      <c r="AE13" s="175" t="str">
        <f>IF($AM$14=0,"Units?",IF($AM$14=1,"ac",IF($AM$14=2,"sq-ft","Error")))</f>
        <v>Units?</v>
      </c>
      <c r="AF13" s="175"/>
      <c r="AM13" s="90">
        <f>IF(ISBLANK(J12),0,2)</f>
        <v>0</v>
      </c>
      <c r="AN13" s="44"/>
      <c r="AO13" s="44" t="s">
        <v>368</v>
      </c>
      <c r="AP13" s="126">
        <f>IF($AM$14=2,J19/43560,J19)</f>
        <v>0</v>
      </c>
      <c r="AQ13" s="42" t="s">
        <v>367</v>
      </c>
      <c r="AV13" s="47">
        <f>AV12+1</f>
        <v>3</v>
      </c>
      <c r="AW13" s="4" t="s">
        <v>294</v>
      </c>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row>
    <row r="14" spans="2:84" ht="14.55" customHeight="1" x14ac:dyDescent="0.3">
      <c r="G14" s="2"/>
      <c r="H14" s="2"/>
      <c r="I14" s="2" t="s">
        <v>209</v>
      </c>
      <c r="J14" s="204"/>
      <c r="K14" s="204"/>
      <c r="L14" s="204"/>
      <c r="M14" s="204"/>
      <c r="N14" s="175" t="str">
        <f t="shared" ref="N14:N19" si="0">IF($AM$14=0,"Units?",IF($AM$14=1,"ac",IF($AM$14=2,"sq-ft","Error")))</f>
        <v>Units?</v>
      </c>
      <c r="O14" s="175"/>
      <c r="S14" s="4" t="s">
        <v>48</v>
      </c>
      <c r="AM14" s="90">
        <f>SUM(AM12:AM13)</f>
        <v>0</v>
      </c>
      <c r="AN14" s="42" t="s">
        <v>369</v>
      </c>
      <c r="AO14" s="44" t="s">
        <v>216</v>
      </c>
      <c r="AP14" s="126">
        <f>AP13-AP12</f>
        <v>0</v>
      </c>
      <c r="AQ14" s="42" t="s">
        <v>367</v>
      </c>
      <c r="AW14" s="4" t="s">
        <v>434</v>
      </c>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row>
    <row r="15" spans="2:84" ht="14.55" customHeight="1" x14ac:dyDescent="0.3">
      <c r="G15" s="2"/>
      <c r="H15" s="2"/>
      <c r="I15" s="2" t="s">
        <v>210</v>
      </c>
      <c r="J15" s="179"/>
      <c r="K15" s="179"/>
      <c r="L15" s="179"/>
      <c r="M15" s="179"/>
      <c r="N15" s="175" t="str">
        <f t="shared" si="0"/>
        <v>Units?</v>
      </c>
      <c r="O15" s="175"/>
      <c r="V15" s="2" t="s">
        <v>216</v>
      </c>
      <c r="W15" s="217">
        <f>IF(AL15=1,"0.00",IFERROR(IF($J$19-$AA$13&lt;0,0,$J$19-$AA$13),""))</f>
        <v>0</v>
      </c>
      <c r="X15" s="217"/>
      <c r="Y15" s="217"/>
      <c r="Z15" s="217"/>
      <c r="AA15" s="175" t="str">
        <f>IF($AM$14=0,"Units?",IF($AM$14=1,"ac",IF($AM$14=2,"sq-ft","Error")))</f>
        <v>Units?</v>
      </c>
      <c r="AB15" s="175"/>
      <c r="AD15" s="2" t="s">
        <v>370</v>
      </c>
      <c r="AE15" s="176">
        <f>AP14</f>
        <v>0</v>
      </c>
      <c r="AF15" s="176"/>
      <c r="AG15" s="176"/>
      <c r="AH15" s="176"/>
      <c r="AI15" s="175" t="s">
        <v>367</v>
      </c>
      <c r="AJ15" s="175"/>
      <c r="AL15" s="90">
        <f>IF(AND(J19=0,ISBLANK(AA13)),0,IF(OR(J19-AA13=0,J19-AA13&lt;0),1,2))</f>
        <v>0</v>
      </c>
      <c r="AV15" s="47">
        <f>AV13+1</f>
        <v>4</v>
      </c>
      <c r="AW15" s="4" t="s">
        <v>197</v>
      </c>
      <c r="AY15" s="21"/>
      <c r="AZ15" s="21"/>
      <c r="BA15" s="21"/>
      <c r="BB15" s="21"/>
      <c r="BC15" s="21"/>
      <c r="BD15" s="21"/>
      <c r="BE15" s="21"/>
      <c r="BF15" s="21"/>
      <c r="BG15" s="21"/>
      <c r="BH15"/>
      <c r="BI15"/>
      <c r="BJ15"/>
      <c r="BK15"/>
      <c r="BL15"/>
      <c r="BM15"/>
      <c r="BN15"/>
      <c r="BO15"/>
      <c r="BP15"/>
      <c r="BQ15"/>
      <c r="BR15"/>
      <c r="BS15"/>
      <c r="BT15"/>
      <c r="BU15"/>
      <c r="BV15"/>
      <c r="BW15"/>
      <c r="BX15"/>
      <c r="BY15"/>
      <c r="BZ15"/>
      <c r="CA15"/>
      <c r="CB15"/>
      <c r="CC15"/>
      <c r="CD15"/>
      <c r="CE15"/>
      <c r="CF15"/>
    </row>
    <row r="16" spans="2:84" ht="14.55" customHeight="1" x14ac:dyDescent="0.3">
      <c r="G16" s="2"/>
      <c r="H16" s="2"/>
      <c r="I16" s="2" t="s">
        <v>211</v>
      </c>
      <c r="J16" s="179"/>
      <c r="K16" s="179"/>
      <c r="L16" s="179"/>
      <c r="M16" s="179"/>
      <c r="N16" s="175" t="str">
        <f t="shared" si="0"/>
        <v>Units?</v>
      </c>
      <c r="O16" s="175"/>
      <c r="S16" s="4" t="s">
        <v>32</v>
      </c>
      <c r="AV16" s="47"/>
      <c r="AW16" s="4" t="str">
        <f>"Hydrology for Small Watersheds Technical Release 55 (TR-55) or equivalent as approved by the "&amp;Tables!$F$23&amp;" Engineer"</f>
        <v>Hydrology for Small Watersheds Technical Release 55 (TR-55) or equivalent as approved by the County Engineer</v>
      </c>
      <c r="AY16" s="21"/>
      <c r="AZ16" s="21"/>
      <c r="BA16" s="21"/>
      <c r="BB16" s="21"/>
      <c r="BC16" s="21"/>
      <c r="BD16" s="21"/>
      <c r="BE16" s="21"/>
      <c r="BF16" s="21"/>
      <c r="BG16" s="21"/>
      <c r="BH16"/>
      <c r="BI16"/>
      <c r="BJ16"/>
      <c r="BK16"/>
      <c r="BL16"/>
      <c r="BM16"/>
      <c r="BN16"/>
      <c r="BO16"/>
      <c r="BP16"/>
      <c r="BQ16"/>
      <c r="BR16"/>
      <c r="BS16"/>
      <c r="BT16"/>
      <c r="BU16"/>
      <c r="BV16"/>
      <c r="BW16"/>
      <c r="BX16"/>
      <c r="BY16"/>
      <c r="BZ16"/>
      <c r="CA16"/>
      <c r="CB16"/>
      <c r="CC16"/>
      <c r="CD16"/>
      <c r="CE16"/>
      <c r="CF16"/>
    </row>
    <row r="17" spans="2:84" ht="14.55" customHeight="1" x14ac:dyDescent="0.3">
      <c r="G17" s="2"/>
      <c r="H17" s="2"/>
      <c r="I17" s="2" t="s">
        <v>212</v>
      </c>
      <c r="J17" s="179"/>
      <c r="K17" s="179"/>
      <c r="L17" s="179"/>
      <c r="M17" s="179"/>
      <c r="N17" s="175" t="str">
        <f t="shared" si="0"/>
        <v>Units?</v>
      </c>
      <c r="O17" s="175"/>
      <c r="V17" s="2" t="s">
        <v>34</v>
      </c>
      <c r="W17" s="4" t="str">
        <f>"AIA acres X "&amp;Tables!G15&amp; " in X 3,630"</f>
        <v>AIA acres X 1.00 in X 3,630</v>
      </c>
      <c r="AV17" s="47">
        <f>AV15+1</f>
        <v>5</v>
      </c>
      <c r="AW17" s="21" t="s">
        <v>198</v>
      </c>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row>
    <row r="18" spans="2:84" ht="14.55" customHeight="1" thickBot="1" x14ac:dyDescent="0.35">
      <c r="G18" s="2"/>
      <c r="H18" s="2"/>
      <c r="I18" s="2" t="s">
        <v>213</v>
      </c>
      <c r="J18" s="218"/>
      <c r="K18" s="218"/>
      <c r="L18" s="218"/>
      <c r="M18" s="218"/>
      <c r="N18" s="175" t="str">
        <f t="shared" si="0"/>
        <v>Units?</v>
      </c>
      <c r="O18" s="175"/>
      <c r="V18" s="2" t="s">
        <v>34</v>
      </c>
      <c r="W18" s="176">
        <f>IF(AL15=1,"0.00",IFERROR(IF($J$19-$AA$13&lt;0,0,$AP$14),""))</f>
        <v>0</v>
      </c>
      <c r="X18" s="176"/>
      <c r="Y18" s="176"/>
      <c r="Z18" s="176"/>
      <c r="AA18" s="4" t="str">
        <f>"acres X "&amp;Tables!G15&amp;" in X 3,630"</f>
        <v>acres X 1.00 in X 3,630</v>
      </c>
      <c r="AV18" s="47"/>
      <c r="AW18" s="21" t="str">
        <f>"pre-development hydrology for the "&amp;Tables!$F$28&amp;"-year, 24-hour rainfall depths"</f>
        <v>pre-development hydrology for the 2, 5, 10, 25, 50, and 100-year, 24-hour rainfall depths</v>
      </c>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row>
    <row r="19" spans="2:84" ht="14.55" customHeight="1" thickTop="1" x14ac:dyDescent="0.3">
      <c r="G19" s="2"/>
      <c r="H19" s="2"/>
      <c r="I19" s="2" t="s">
        <v>214</v>
      </c>
      <c r="J19" s="217">
        <f>IF(SUM($J$14:$J$18)=0,0,SUM($J$14:$J$18))</f>
        <v>0</v>
      </c>
      <c r="K19" s="217"/>
      <c r="L19" s="217"/>
      <c r="M19" s="217"/>
      <c r="N19" s="175" t="str">
        <f t="shared" si="0"/>
        <v>Units?</v>
      </c>
      <c r="O19" s="175"/>
      <c r="V19" s="2" t="s">
        <v>34</v>
      </c>
      <c r="W19" s="207">
        <f>IF(AL15=1,"0",IFERROR(ROUND(IF(AP14*Tables!F15*3630&lt;0,0,AP14*Tables!F15*3630),0),""))</f>
        <v>0</v>
      </c>
      <c r="X19" s="207"/>
      <c r="Y19" s="207"/>
      <c r="Z19" s="207"/>
      <c r="AA19" s="4" t="s">
        <v>33</v>
      </c>
      <c r="AV19" s="47">
        <v>6</v>
      </c>
      <c r="AW19" s="4" t="s">
        <v>402</v>
      </c>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row>
    <row r="20" spans="2:84" ht="15" customHeight="1" x14ac:dyDescent="0.3">
      <c r="AW20" s="6" t="s">
        <v>90</v>
      </c>
      <c r="AX20" s="4" t="str">
        <f>"Obtain "&amp;Tables!F37&amp;" for the adjacent property"</f>
        <v>Obtain Drainage Rights for the adjacent property</v>
      </c>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row>
    <row r="21" spans="2:84" ht="15" customHeight="1" x14ac:dyDescent="0.3">
      <c r="B21" s="1" t="s">
        <v>3</v>
      </c>
      <c r="C21" s="1"/>
      <c r="D21" s="1"/>
      <c r="E21" s="1"/>
      <c r="F21" s="1"/>
      <c r="G21" s="1"/>
      <c r="H21" s="1"/>
      <c r="I21" s="1"/>
      <c r="J21" s="1"/>
      <c r="Y21" s="2" t="s">
        <v>324</v>
      </c>
      <c r="Z21" s="54"/>
      <c r="AA21" s="4" t="s">
        <v>325</v>
      </c>
      <c r="AC21" s="54"/>
      <c r="AD21" s="4" t="s">
        <v>326</v>
      </c>
      <c r="AF21" s="54"/>
      <c r="AG21" s="4" t="s">
        <v>327</v>
      </c>
      <c r="AI21" s="54"/>
      <c r="AJ21" s="4" t="s">
        <v>328</v>
      </c>
      <c r="AL21" s="90">
        <f>IF(AND(ISBLANK(Z21),ISBLANK(AC21),ISBLANK(AF21),ISBLANK(AI21)),1,2)</f>
        <v>1</v>
      </c>
      <c r="AM21" s="90">
        <f>IF(ISBLANK(Z21),IF(ISBLANK(AC21),IF(ISBLANK(AF21),IF(ISBLANK(AI21),0,4),3),2),1)</f>
        <v>0</v>
      </c>
      <c r="AW21" s="6" t="s">
        <v>91</v>
      </c>
      <c r="AX21" s="4" t="str">
        <f>"If "&amp;Tables!F37&amp;" cannot be obtained, size the detention pond to attenuate the"</f>
        <v>If Drainage Rights cannot be obtained, size the detention pond to attenuate the</v>
      </c>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row>
    <row r="22" spans="2:84" s="75" customFormat="1" ht="15" hidden="1" customHeight="1" x14ac:dyDescent="0.3">
      <c r="B22" s="129"/>
      <c r="C22" s="129"/>
      <c r="D22" s="129"/>
      <c r="E22" s="129"/>
      <c r="F22" s="129"/>
      <c r="G22" s="129"/>
      <c r="H22" s="129"/>
      <c r="I22" s="129"/>
      <c r="J22" s="129"/>
      <c r="L22" s="90">
        <f>IF(ISBLANK(L23),1,2)</f>
        <v>1</v>
      </c>
      <c r="P22" s="90">
        <f>IF(ISBLANK(P23),1,2)</f>
        <v>1</v>
      </c>
      <c r="T22" s="90">
        <f>IF(ISBLANK(T23),1,2)</f>
        <v>1</v>
      </c>
      <c r="X22" s="90">
        <f>IF(ISBLANK(X23),1,2)</f>
        <v>1</v>
      </c>
      <c r="AB22" s="90">
        <f>IF(ISBLANK(AB23),1,2)</f>
        <v>1</v>
      </c>
    </row>
    <row r="23" spans="2:84" ht="14.55" customHeight="1" x14ac:dyDescent="0.3">
      <c r="J23" s="2" t="s">
        <v>44</v>
      </c>
      <c r="L23" s="214"/>
      <c r="M23" s="214"/>
      <c r="N23" s="214"/>
      <c r="P23" s="214"/>
      <c r="Q23" s="214"/>
      <c r="R23" s="214"/>
      <c r="T23" s="214"/>
      <c r="U23" s="214"/>
      <c r="V23" s="214"/>
      <c r="X23" s="214"/>
      <c r="Y23" s="214"/>
      <c r="Z23" s="214"/>
      <c r="AB23" s="214"/>
      <c r="AC23" s="214"/>
      <c r="AD23" s="214"/>
      <c r="AG23" s="6" t="s">
        <v>13</v>
      </c>
      <c r="AH23" s="6"/>
      <c r="AI23" s="6"/>
      <c r="AX23" s="21" t="str">
        <f>"post-development peak discharges for the "&amp;AS121&amp;"-year to be less than the pre-development"</f>
        <v>post-development peak discharges for the 2, 5, 10, 25, 50, and 100-year to be less than the pre-development</v>
      </c>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row>
    <row r="24" spans="2:84" ht="14.55" customHeight="1" x14ac:dyDescent="0.3">
      <c r="H24" s="2" t="s">
        <v>371</v>
      </c>
      <c r="I24" s="219" t="str">
        <f>IF($AM$14=0,"Units?",IF($AM$14=1,"(ac):",IF($AM$14=2,"(sq-ft):","Error")))</f>
        <v>Units?</v>
      </c>
      <c r="J24" s="219"/>
      <c r="L24" s="179"/>
      <c r="M24" s="179"/>
      <c r="N24" s="179"/>
      <c r="P24" s="179"/>
      <c r="Q24" s="179"/>
      <c r="R24" s="179"/>
      <c r="T24" s="179"/>
      <c r="U24" s="179"/>
      <c r="V24" s="179"/>
      <c r="X24" s="204"/>
      <c r="Y24" s="204"/>
      <c r="Z24" s="204"/>
      <c r="AB24" s="179"/>
      <c r="AC24" s="179"/>
      <c r="AD24" s="179"/>
      <c r="AF24" s="204"/>
      <c r="AG24" s="204"/>
      <c r="AH24" s="204"/>
      <c r="AI24" s="8"/>
      <c r="AX24" s="21" t="str">
        <f>"peak discharge(s) for the "&amp;AR121&amp;"-year storm event"</f>
        <v>peak discharge(s) for the 2, 5, 10, 25, 50, and 100-year storm event</v>
      </c>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row>
    <row r="25" spans="2:84" ht="14.55" customHeight="1" x14ac:dyDescent="0.3">
      <c r="J25" s="2" t="s">
        <v>4</v>
      </c>
      <c r="L25" s="212"/>
      <c r="M25" s="212"/>
      <c r="N25" s="212"/>
      <c r="P25" s="212"/>
      <c r="Q25" s="212"/>
      <c r="R25" s="212"/>
      <c r="T25" s="212"/>
      <c r="U25" s="212"/>
      <c r="V25" s="212"/>
      <c r="X25" s="212"/>
      <c r="Y25" s="212"/>
      <c r="Z25" s="212"/>
      <c r="AB25" s="212"/>
      <c r="AC25" s="212"/>
      <c r="AD25" s="212"/>
      <c r="AF25" s="127"/>
      <c r="AG25" s="127"/>
      <c r="AH25" s="127"/>
      <c r="AI25" s="7"/>
      <c r="AV25" s="47">
        <v>7</v>
      </c>
      <c r="AW25" s="4" t="s">
        <v>281</v>
      </c>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row>
    <row r="26" spans="2:84" ht="14.55" customHeight="1" x14ac:dyDescent="0.3">
      <c r="J26" s="2" t="s">
        <v>47</v>
      </c>
      <c r="L26" s="196"/>
      <c r="M26" s="196"/>
      <c r="N26" s="196"/>
      <c r="P26" s="196"/>
      <c r="Q26" s="196"/>
      <c r="R26" s="196"/>
      <c r="T26" s="196"/>
      <c r="U26" s="196"/>
      <c r="V26" s="196"/>
      <c r="X26" s="196"/>
      <c r="Y26" s="196"/>
      <c r="Z26" s="196"/>
      <c r="AB26" s="196"/>
      <c r="AC26" s="196"/>
      <c r="AD26" s="196"/>
      <c r="AF26" s="13"/>
      <c r="AG26" s="13"/>
      <c r="AH26" s="13"/>
      <c r="AI26" s="13"/>
      <c r="AL26" s="94">
        <f>SUM(AL27:AL32)</f>
        <v>0</v>
      </c>
      <c r="AM26" s="90">
        <f>SUM(AM27:AM32)</f>
        <v>0</v>
      </c>
      <c r="AN26" s="42" t="s">
        <v>13</v>
      </c>
      <c r="AW26" s="4" t="s">
        <v>377</v>
      </c>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row>
    <row r="27" spans="2:84" ht="14.55" customHeight="1" x14ac:dyDescent="0.3">
      <c r="D27" s="215" t="s">
        <v>323</v>
      </c>
      <c r="E27" s="215"/>
      <c r="F27" s="206">
        <f>Tables!$F$16</f>
        <v>6.02</v>
      </c>
      <c r="G27" s="206"/>
      <c r="H27" s="13"/>
      <c r="I27" s="13"/>
      <c r="J27" s="2" t="str">
        <f>Tables!$D$16</f>
        <v>(2-yr)</v>
      </c>
      <c r="L27" s="204"/>
      <c r="M27" s="204"/>
      <c r="N27" s="204"/>
      <c r="P27" s="204"/>
      <c r="Q27" s="204"/>
      <c r="R27" s="204"/>
      <c r="T27" s="204"/>
      <c r="U27" s="204"/>
      <c r="V27" s="204"/>
      <c r="X27" s="204"/>
      <c r="Y27" s="204"/>
      <c r="Z27" s="204"/>
      <c r="AB27" s="204"/>
      <c r="AC27" s="204"/>
      <c r="AD27" s="204"/>
      <c r="AF27" s="204"/>
      <c r="AG27" s="204"/>
      <c r="AH27" s="204"/>
      <c r="AI27" s="8"/>
      <c r="AL27" s="90">
        <f t="shared" ref="AL27:AL32" si="1">IF(AF27=0,0,1)</f>
        <v>0</v>
      </c>
      <c r="AM27" s="90">
        <f t="shared" ref="AM27:AM32" si="2">IF(ISBLANK(AF27),0,1)</f>
        <v>0</v>
      </c>
      <c r="AW27" s="4" t="s">
        <v>435</v>
      </c>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row>
    <row r="28" spans="2:84" ht="14.55" customHeight="1" x14ac:dyDescent="0.3">
      <c r="D28" s="215"/>
      <c r="E28" s="215"/>
      <c r="F28" s="206">
        <f>Tables!$F$17</f>
        <v>7.68</v>
      </c>
      <c r="G28" s="206"/>
      <c r="H28" s="13"/>
      <c r="I28" s="13"/>
      <c r="J28" s="2" t="str">
        <f>Tables!$D$17</f>
        <v>(5-yr)</v>
      </c>
      <c r="L28" s="179"/>
      <c r="M28" s="179"/>
      <c r="N28" s="179"/>
      <c r="P28" s="179"/>
      <c r="Q28" s="179"/>
      <c r="R28" s="179"/>
      <c r="T28" s="179"/>
      <c r="U28" s="179"/>
      <c r="V28" s="179"/>
      <c r="X28" s="179"/>
      <c r="Y28" s="179"/>
      <c r="Z28" s="179"/>
      <c r="AB28" s="179"/>
      <c r="AC28" s="179"/>
      <c r="AD28" s="179"/>
      <c r="AF28" s="179"/>
      <c r="AG28" s="179"/>
      <c r="AH28" s="179"/>
      <c r="AI28" s="8"/>
      <c r="AL28" s="90">
        <f t="shared" si="1"/>
        <v>0</v>
      </c>
      <c r="AM28" s="90">
        <f t="shared" si="2"/>
        <v>0</v>
      </c>
      <c r="AV28" s="47">
        <f>AV25+1</f>
        <v>8</v>
      </c>
      <c r="AW28" s="4" t="s">
        <v>200</v>
      </c>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row>
    <row r="29" spans="2:84" ht="14.55" customHeight="1" x14ac:dyDescent="0.3">
      <c r="D29" s="215"/>
      <c r="E29" s="215"/>
      <c r="F29" s="206">
        <f>Tables!$F$18</f>
        <v>9.26</v>
      </c>
      <c r="G29" s="206"/>
      <c r="H29" s="13"/>
      <c r="I29" s="13"/>
      <c r="J29" s="2" t="str">
        <f>Tables!$D$18</f>
        <v>(10-yr)</v>
      </c>
      <c r="L29" s="179"/>
      <c r="M29" s="179"/>
      <c r="N29" s="179"/>
      <c r="P29" s="179"/>
      <c r="Q29" s="179"/>
      <c r="R29" s="179"/>
      <c r="T29" s="179"/>
      <c r="U29" s="179"/>
      <c r="V29" s="179"/>
      <c r="X29" s="179"/>
      <c r="Y29" s="179"/>
      <c r="Z29" s="179"/>
      <c r="AB29" s="179"/>
      <c r="AC29" s="179"/>
      <c r="AD29" s="179"/>
      <c r="AF29" s="179"/>
      <c r="AG29" s="179"/>
      <c r="AH29" s="179"/>
      <c r="AI29" s="8"/>
      <c r="AL29" s="90">
        <f t="shared" si="1"/>
        <v>0</v>
      </c>
      <c r="AM29" s="90">
        <f t="shared" si="2"/>
        <v>0</v>
      </c>
      <c r="AV29" s="47"/>
      <c r="AW29" s="4" t="s">
        <v>436</v>
      </c>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row>
    <row r="30" spans="2:84" ht="14.55" customHeight="1" x14ac:dyDescent="0.3">
      <c r="D30" s="215"/>
      <c r="E30" s="215"/>
      <c r="F30" s="206">
        <f>Tables!$F$19</f>
        <v>11.7</v>
      </c>
      <c r="G30" s="206"/>
      <c r="H30" s="13"/>
      <c r="I30" s="13"/>
      <c r="J30" s="2" t="str">
        <f>Tables!$D$19</f>
        <v>(25-yr)</v>
      </c>
      <c r="L30" s="179"/>
      <c r="M30" s="179"/>
      <c r="N30" s="179"/>
      <c r="P30" s="179"/>
      <c r="Q30" s="179"/>
      <c r="R30" s="179"/>
      <c r="T30" s="179"/>
      <c r="U30" s="179"/>
      <c r="V30" s="179"/>
      <c r="X30" s="179"/>
      <c r="Y30" s="179"/>
      <c r="Z30" s="179"/>
      <c r="AB30" s="179"/>
      <c r="AC30" s="179"/>
      <c r="AD30" s="179"/>
      <c r="AF30" s="179"/>
      <c r="AG30" s="179"/>
      <c r="AH30" s="179"/>
      <c r="AI30" s="8"/>
      <c r="AL30" s="90">
        <f t="shared" si="1"/>
        <v>0</v>
      </c>
      <c r="AM30" s="90">
        <f t="shared" si="2"/>
        <v>0</v>
      </c>
      <c r="AV30" s="47">
        <f>AV28+1</f>
        <v>9</v>
      </c>
      <c r="AW30" s="4" t="s">
        <v>534</v>
      </c>
      <c r="AZ30" s="47"/>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row>
    <row r="31" spans="2:84" ht="14.55" customHeight="1" x14ac:dyDescent="0.3">
      <c r="D31" s="215"/>
      <c r="E31" s="215"/>
      <c r="F31" s="206">
        <f>Tables!$F$20</f>
        <v>13.9</v>
      </c>
      <c r="G31" s="206"/>
      <c r="H31" s="13"/>
      <c r="I31" s="13"/>
      <c r="J31" s="2" t="str">
        <f>Tables!$D$20</f>
        <v>(50-yr)</v>
      </c>
      <c r="L31" s="179"/>
      <c r="M31" s="179"/>
      <c r="N31" s="179"/>
      <c r="P31" s="179"/>
      <c r="Q31" s="179"/>
      <c r="R31" s="179"/>
      <c r="T31" s="179"/>
      <c r="U31" s="179"/>
      <c r="V31" s="179"/>
      <c r="X31" s="179"/>
      <c r="Y31" s="179"/>
      <c r="Z31" s="179"/>
      <c r="AB31" s="179"/>
      <c r="AC31" s="179"/>
      <c r="AD31" s="179"/>
      <c r="AF31" s="179"/>
      <c r="AG31" s="179"/>
      <c r="AH31" s="179"/>
      <c r="AI31" s="8"/>
      <c r="AL31" s="90">
        <f t="shared" si="1"/>
        <v>0</v>
      </c>
      <c r="AM31" s="90">
        <f t="shared" si="2"/>
        <v>0</v>
      </c>
      <c r="AW31" s="4" t="s">
        <v>533</v>
      </c>
    </row>
    <row r="32" spans="2:84" ht="14.55" customHeight="1" x14ac:dyDescent="0.3">
      <c r="D32" s="215"/>
      <c r="E32" s="215"/>
      <c r="F32" s="206">
        <f>Tables!$F$21</f>
        <v>16.3</v>
      </c>
      <c r="G32" s="206"/>
      <c r="H32" s="13"/>
      <c r="I32" s="13"/>
      <c r="J32" s="2" t="str">
        <f>Tables!$D$21</f>
        <v>(100-yr)</v>
      </c>
      <c r="L32" s="179"/>
      <c r="M32" s="179"/>
      <c r="N32" s="179"/>
      <c r="P32" s="179"/>
      <c r="Q32" s="179"/>
      <c r="R32" s="179"/>
      <c r="T32" s="179"/>
      <c r="U32" s="179"/>
      <c r="V32" s="179"/>
      <c r="X32" s="179"/>
      <c r="Y32" s="179"/>
      <c r="Z32" s="179"/>
      <c r="AB32" s="179"/>
      <c r="AC32" s="179"/>
      <c r="AD32" s="179"/>
      <c r="AF32" s="204"/>
      <c r="AG32" s="204"/>
      <c r="AH32" s="204"/>
      <c r="AI32" s="8"/>
      <c r="AL32" s="90">
        <f t="shared" si="1"/>
        <v>0</v>
      </c>
      <c r="AM32" s="90">
        <f t="shared" si="2"/>
        <v>0</v>
      </c>
      <c r="AN32" s="93">
        <f>SUM(AF27:AH32)</f>
        <v>0</v>
      </c>
      <c r="AO32" s="93"/>
      <c r="AP32" s="93"/>
      <c r="AV32" s="47">
        <f>AV30+1</f>
        <v>10</v>
      </c>
      <c r="AW32" s="4" t="s">
        <v>282</v>
      </c>
    </row>
    <row r="33" spans="2:84" ht="15" customHeight="1" x14ac:dyDescent="0.3">
      <c r="AL33" s="93"/>
      <c r="AM33" s="93"/>
      <c r="AN33" s="93"/>
      <c r="AO33" s="93"/>
      <c r="AP33" s="93"/>
      <c r="AW33" s="4" t="s">
        <v>376</v>
      </c>
    </row>
    <row r="34" spans="2:84" ht="15" customHeight="1" x14ac:dyDescent="0.3">
      <c r="B34" s="1" t="s">
        <v>11</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W34" s="4" t="s">
        <v>437</v>
      </c>
      <c r="BA34" s="47"/>
      <c r="BB34" s="47"/>
      <c r="BC34" s="47"/>
      <c r="BD34" s="47"/>
      <c r="BE34" s="47"/>
      <c r="BF34" s="47"/>
      <c r="BG34" s="4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row>
    <row r="35" spans="2:84" s="75" customFormat="1" ht="15.6" hidden="1" x14ac:dyDescent="0.3">
      <c r="B35" s="129"/>
      <c r="C35" s="129"/>
      <c r="D35" s="129"/>
      <c r="E35" s="129"/>
      <c r="F35" s="129"/>
      <c r="G35" s="129"/>
      <c r="H35" s="129"/>
      <c r="I35" s="129"/>
      <c r="J35" s="129"/>
      <c r="L35" s="90">
        <f>IF(ISBLANK(L36),1,2)</f>
        <v>1</v>
      </c>
      <c r="P35" s="90">
        <f>IF(ISBLANK(P36),1,2)</f>
        <v>1</v>
      </c>
      <c r="T35" s="90">
        <f>IF(ISBLANK(T36),1,2)</f>
        <v>1</v>
      </c>
      <c r="X35" s="90">
        <f>IF(ISBLANK(X36),1,2)</f>
        <v>1</v>
      </c>
      <c r="AB35" s="90">
        <f>IF(ISBLANK(AB36),1,2)</f>
        <v>1</v>
      </c>
    </row>
    <row r="36" spans="2:84" ht="14.55" customHeight="1" x14ac:dyDescent="0.3">
      <c r="J36" s="2" t="s">
        <v>44</v>
      </c>
      <c r="L36" s="214"/>
      <c r="M36" s="214"/>
      <c r="N36" s="214"/>
      <c r="P36" s="214"/>
      <c r="Q36" s="214"/>
      <c r="R36" s="214"/>
      <c r="T36" s="214"/>
      <c r="U36" s="214"/>
      <c r="V36" s="214"/>
      <c r="X36" s="214"/>
      <c r="Y36" s="214"/>
      <c r="Z36" s="214"/>
      <c r="AB36" s="214"/>
      <c r="AC36" s="214"/>
      <c r="AD36" s="214"/>
      <c r="AG36" s="6" t="s">
        <v>12</v>
      </c>
      <c r="AH36" s="6"/>
      <c r="AI36" s="6"/>
      <c r="AV36" s="47">
        <f>AV32+1</f>
        <v>11</v>
      </c>
      <c r="AW36" s="4" t="str">
        <f>"The bottom of the detention pond shall have a minimum slope of "&amp;Tables!F38&amp;"%"</f>
        <v>The bottom of the detention pond shall have a minimum slope of 1%</v>
      </c>
    </row>
    <row r="37" spans="2:84" ht="14.55" customHeight="1" x14ac:dyDescent="0.3">
      <c r="H37" s="2" t="s">
        <v>371</v>
      </c>
      <c r="I37" s="219" t="str">
        <f>IF($AM$14=0,"Units?",IF($AM$14=1,"(ac):",IF($AM$14=2,"(sq-ft):","Error")))</f>
        <v>Units?</v>
      </c>
      <c r="J37" s="219"/>
      <c r="L37" s="179"/>
      <c r="M37" s="179"/>
      <c r="N37" s="179"/>
      <c r="P37" s="204"/>
      <c r="Q37" s="204"/>
      <c r="R37" s="204"/>
      <c r="T37" s="179"/>
      <c r="U37" s="179"/>
      <c r="V37" s="179"/>
      <c r="X37" s="179"/>
      <c r="Y37" s="179"/>
      <c r="Z37" s="179"/>
      <c r="AB37" s="179"/>
      <c r="AC37" s="179"/>
      <c r="AD37" s="179"/>
      <c r="AF37" s="204"/>
      <c r="AG37" s="204"/>
      <c r="AH37" s="204"/>
      <c r="AV37" s="47">
        <f>AV36+1</f>
        <v>12</v>
      </c>
      <c r="AW37" s="4" t="s">
        <v>384</v>
      </c>
    </row>
    <row r="38" spans="2:84" ht="14.55" customHeight="1" x14ac:dyDescent="0.3">
      <c r="J38" s="2" t="s">
        <v>4</v>
      </c>
      <c r="L38" s="212"/>
      <c r="M38" s="212"/>
      <c r="N38" s="212"/>
      <c r="P38" s="212"/>
      <c r="Q38" s="212"/>
      <c r="R38" s="212"/>
      <c r="T38" s="212"/>
      <c r="U38" s="212"/>
      <c r="V38" s="212"/>
      <c r="X38" s="212"/>
      <c r="Y38" s="212"/>
      <c r="Z38" s="212"/>
      <c r="AB38" s="212"/>
      <c r="AC38" s="212"/>
      <c r="AD38" s="212"/>
      <c r="AF38" s="127"/>
      <c r="AG38" s="127"/>
      <c r="AH38" s="127"/>
      <c r="AV38" s="47"/>
      <c r="AW38" s="4" t="s">
        <v>382</v>
      </c>
    </row>
    <row r="39" spans="2:84" ht="14.55" customHeight="1" x14ac:dyDescent="0.3">
      <c r="J39" s="2" t="s">
        <v>47</v>
      </c>
      <c r="L39" s="196"/>
      <c r="M39" s="196"/>
      <c r="N39" s="196"/>
      <c r="P39" s="196"/>
      <c r="Q39" s="196"/>
      <c r="R39" s="196"/>
      <c r="T39" s="196"/>
      <c r="U39" s="196"/>
      <c r="V39" s="196"/>
      <c r="X39" s="196"/>
      <c r="Y39" s="196"/>
      <c r="Z39" s="196"/>
      <c r="AB39" s="196"/>
      <c r="AC39" s="196"/>
      <c r="AD39" s="196"/>
      <c r="AF39" s="13"/>
      <c r="AG39" s="13"/>
      <c r="AH39" s="13"/>
      <c r="AL39" s="94">
        <f>SUM(AL40:AL45)</f>
        <v>0</v>
      </c>
      <c r="AM39" s="90">
        <f>SUM(AM40:AM45)</f>
        <v>0</v>
      </c>
      <c r="AN39" s="42" t="s">
        <v>12</v>
      </c>
      <c r="AW39" s="4" t="s">
        <v>383</v>
      </c>
    </row>
    <row r="40" spans="2:84" ht="14.55" customHeight="1" x14ac:dyDescent="0.3">
      <c r="D40" s="215" t="s">
        <v>323</v>
      </c>
      <c r="E40" s="215"/>
      <c r="F40" s="206">
        <f>Tables!$F$16</f>
        <v>6.02</v>
      </c>
      <c r="G40" s="206"/>
      <c r="H40" s="13"/>
      <c r="I40" s="13"/>
      <c r="J40" s="2" t="str">
        <f>Tables!$D$16</f>
        <v>(2-yr)</v>
      </c>
      <c r="L40" s="204"/>
      <c r="M40" s="204"/>
      <c r="N40" s="204"/>
      <c r="O40" s="3"/>
      <c r="P40" s="204"/>
      <c r="Q40" s="204"/>
      <c r="R40" s="204"/>
      <c r="T40" s="204"/>
      <c r="U40" s="204"/>
      <c r="V40" s="204"/>
      <c r="X40" s="204"/>
      <c r="Y40" s="204"/>
      <c r="Z40" s="204"/>
      <c r="AB40" s="204"/>
      <c r="AC40" s="204"/>
      <c r="AD40" s="204"/>
      <c r="AF40" s="204"/>
      <c r="AG40" s="204"/>
      <c r="AH40" s="204"/>
      <c r="AL40" s="90">
        <f t="shared" ref="AL40:AL45" si="3">IF(AF40=0,0,1)</f>
        <v>0</v>
      </c>
      <c r="AM40" s="90">
        <f t="shared" ref="AM40:AM45" si="4">IF(ISBLANK(AF40),0,1)</f>
        <v>0</v>
      </c>
      <c r="AW40" s="4" t="s">
        <v>438</v>
      </c>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row>
    <row r="41" spans="2:84" ht="14.55" customHeight="1" x14ac:dyDescent="0.3">
      <c r="D41" s="215"/>
      <c r="E41" s="215"/>
      <c r="F41" s="206">
        <f>Tables!$F$17</f>
        <v>7.68</v>
      </c>
      <c r="G41" s="206"/>
      <c r="H41" s="13"/>
      <c r="I41" s="13"/>
      <c r="J41" s="2" t="str">
        <f>Tables!$D$17</f>
        <v>(5-yr)</v>
      </c>
      <c r="L41" s="179"/>
      <c r="M41" s="179"/>
      <c r="N41" s="179"/>
      <c r="O41" s="3"/>
      <c r="P41" s="179"/>
      <c r="Q41" s="179"/>
      <c r="R41" s="179"/>
      <c r="T41" s="179"/>
      <c r="U41" s="179"/>
      <c r="V41" s="179"/>
      <c r="X41" s="179"/>
      <c r="Y41" s="179"/>
      <c r="Z41" s="179"/>
      <c r="AB41" s="179"/>
      <c r="AC41" s="179"/>
      <c r="AD41" s="179"/>
      <c r="AF41" s="179"/>
      <c r="AG41" s="179"/>
      <c r="AH41" s="179"/>
      <c r="AL41" s="90">
        <f t="shared" si="3"/>
        <v>0</v>
      </c>
      <c r="AM41" s="90">
        <f>IF(ISBLANK(AF41),0,1)</f>
        <v>0</v>
      </c>
      <c r="AV41" s="47">
        <f>AV37+1</f>
        <v>13</v>
      </c>
      <c r="AW41" s="4" t="s">
        <v>439</v>
      </c>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row>
    <row r="42" spans="2:84" ht="14.55" customHeight="1" x14ac:dyDescent="0.3">
      <c r="D42" s="215"/>
      <c r="E42" s="215"/>
      <c r="F42" s="206">
        <f>Tables!$F$18</f>
        <v>9.26</v>
      </c>
      <c r="G42" s="206"/>
      <c r="H42" s="13"/>
      <c r="I42" s="13"/>
      <c r="J42" s="2" t="str">
        <f>Tables!$D$18</f>
        <v>(10-yr)</v>
      </c>
      <c r="L42" s="179"/>
      <c r="M42" s="179"/>
      <c r="N42" s="179"/>
      <c r="O42" s="3"/>
      <c r="P42" s="179"/>
      <c r="Q42" s="179"/>
      <c r="R42" s="179"/>
      <c r="T42" s="179"/>
      <c r="U42" s="179"/>
      <c r="V42" s="179"/>
      <c r="X42" s="179"/>
      <c r="Y42" s="179"/>
      <c r="Z42" s="179"/>
      <c r="AB42" s="179"/>
      <c r="AC42" s="179"/>
      <c r="AD42" s="179"/>
      <c r="AF42" s="179"/>
      <c r="AG42" s="179"/>
      <c r="AH42" s="179"/>
      <c r="AL42" s="90">
        <f t="shared" si="3"/>
        <v>0</v>
      </c>
      <c r="AM42" s="90">
        <f>IF(ISBLANK(AF42),0,1)</f>
        <v>0</v>
      </c>
      <c r="AV42" s="47">
        <f>AV41+1</f>
        <v>14</v>
      </c>
      <c r="AW42" s="4" t="s">
        <v>260</v>
      </c>
    </row>
    <row r="43" spans="2:84" ht="14.55" customHeight="1" x14ac:dyDescent="0.3">
      <c r="D43" s="215"/>
      <c r="E43" s="215"/>
      <c r="F43" s="206">
        <f>Tables!$F$19</f>
        <v>11.7</v>
      </c>
      <c r="G43" s="206"/>
      <c r="H43" s="13"/>
      <c r="I43" s="13"/>
      <c r="J43" s="2" t="str">
        <f>Tables!$D$19</f>
        <v>(25-yr)</v>
      </c>
      <c r="L43" s="179"/>
      <c r="M43" s="179"/>
      <c r="N43" s="179"/>
      <c r="O43" s="3"/>
      <c r="P43" s="179"/>
      <c r="Q43" s="179"/>
      <c r="R43" s="179"/>
      <c r="T43" s="179"/>
      <c r="U43" s="179"/>
      <c r="V43" s="179"/>
      <c r="X43" s="179"/>
      <c r="Y43" s="179"/>
      <c r="Z43" s="179"/>
      <c r="AB43" s="179"/>
      <c r="AC43" s="179"/>
      <c r="AD43" s="179"/>
      <c r="AF43" s="179"/>
      <c r="AG43" s="179"/>
      <c r="AH43" s="179"/>
      <c r="AL43" s="90">
        <f t="shared" si="3"/>
        <v>0</v>
      </c>
      <c r="AM43" s="90">
        <f t="shared" si="4"/>
        <v>0</v>
      </c>
      <c r="AW43" s="6" t="s">
        <v>90</v>
      </c>
      <c r="AX43" s="4" t="s">
        <v>265</v>
      </c>
    </row>
    <row r="44" spans="2:84" ht="14.55" customHeight="1" x14ac:dyDescent="0.3">
      <c r="D44" s="215"/>
      <c r="E44" s="215"/>
      <c r="F44" s="206">
        <f>Tables!$F$20</f>
        <v>13.9</v>
      </c>
      <c r="G44" s="206"/>
      <c r="H44" s="13"/>
      <c r="I44" s="13"/>
      <c r="J44" s="2" t="str">
        <f>Tables!$D$20</f>
        <v>(50-yr)</v>
      </c>
      <c r="L44" s="179"/>
      <c r="M44" s="179"/>
      <c r="N44" s="179"/>
      <c r="O44" s="3"/>
      <c r="P44" s="179"/>
      <c r="Q44" s="179"/>
      <c r="R44" s="179"/>
      <c r="T44" s="179"/>
      <c r="U44" s="179"/>
      <c r="V44" s="179"/>
      <c r="X44" s="179"/>
      <c r="Y44" s="179"/>
      <c r="Z44" s="179"/>
      <c r="AB44" s="179"/>
      <c r="AC44" s="179"/>
      <c r="AD44" s="179"/>
      <c r="AF44" s="179"/>
      <c r="AG44" s="179"/>
      <c r="AH44" s="179"/>
      <c r="AL44" s="90">
        <f t="shared" si="3"/>
        <v>0</v>
      </c>
      <c r="AM44" s="90">
        <f t="shared" si="4"/>
        <v>0</v>
      </c>
      <c r="AW44" s="6" t="s">
        <v>91</v>
      </c>
      <c r="AX44" s="4" t="s">
        <v>264</v>
      </c>
    </row>
    <row r="45" spans="2:84" ht="14.55" customHeight="1" x14ac:dyDescent="0.3">
      <c r="D45" s="215"/>
      <c r="E45" s="215"/>
      <c r="F45" s="206">
        <f>Tables!$F$21</f>
        <v>16.3</v>
      </c>
      <c r="G45" s="206"/>
      <c r="H45" s="13"/>
      <c r="I45" s="13"/>
      <c r="J45" s="2" t="str">
        <f>Tables!$D$21</f>
        <v>(100-yr)</v>
      </c>
      <c r="L45" s="179"/>
      <c r="M45" s="179"/>
      <c r="N45" s="179"/>
      <c r="O45" s="3"/>
      <c r="P45" s="179"/>
      <c r="Q45" s="179"/>
      <c r="R45" s="179"/>
      <c r="T45" s="179"/>
      <c r="U45" s="179"/>
      <c r="V45" s="179"/>
      <c r="X45" s="179"/>
      <c r="Y45" s="179"/>
      <c r="Z45" s="179"/>
      <c r="AB45" s="179"/>
      <c r="AC45" s="179"/>
      <c r="AD45" s="179"/>
      <c r="AF45" s="179"/>
      <c r="AG45" s="179"/>
      <c r="AH45" s="179"/>
      <c r="AL45" s="90">
        <f t="shared" si="3"/>
        <v>0</v>
      </c>
      <c r="AM45" s="90">
        <f t="shared" si="4"/>
        <v>0</v>
      </c>
      <c r="AW45" s="6" t="s">
        <v>105</v>
      </c>
      <c r="AX45" s="4" t="s">
        <v>342</v>
      </c>
    </row>
    <row r="46" spans="2:84" ht="15" customHeight="1" x14ac:dyDescent="0.3">
      <c r="AW46" s="6" t="s">
        <v>106</v>
      </c>
      <c r="AX46" s="4" t="s">
        <v>261</v>
      </c>
    </row>
    <row r="47" spans="2:84" ht="15" customHeight="1" x14ac:dyDescent="0.3">
      <c r="AV47" s="47"/>
      <c r="AW47" s="6" t="s">
        <v>104</v>
      </c>
      <c r="AX47" s="4" t="s">
        <v>266</v>
      </c>
    </row>
    <row r="48" spans="2:84" ht="15" customHeight="1" x14ac:dyDescent="0.3">
      <c r="AW48" s="6" t="s">
        <v>107</v>
      </c>
      <c r="AX48" s="4" t="s">
        <v>267</v>
      </c>
    </row>
    <row r="49" spans="2:53" ht="15" customHeight="1" x14ac:dyDescent="0.3">
      <c r="AW49" s="6" t="s">
        <v>268</v>
      </c>
      <c r="AX49" s="4" t="s">
        <v>262</v>
      </c>
    </row>
    <row r="50" spans="2:53" ht="15" customHeight="1" x14ac:dyDescent="0.3">
      <c r="AV50" s="36"/>
      <c r="AW50" s="6" t="s">
        <v>269</v>
      </c>
      <c r="AX50" s="4" t="s">
        <v>263</v>
      </c>
      <c r="AY50" s="36"/>
    </row>
    <row r="51" spans="2:53" ht="15" customHeight="1" x14ac:dyDescent="0.3">
      <c r="J51" s="2"/>
      <c r="K51" s="110"/>
      <c r="N51" s="110"/>
      <c r="V51" s="2"/>
      <c r="W51" s="110"/>
      <c r="Z51" s="110"/>
      <c r="AV51" s="47">
        <f>AV42+1</f>
        <v>15</v>
      </c>
      <c r="AW51" s="4" t="s">
        <v>440</v>
      </c>
      <c r="BA51" s="36"/>
    </row>
    <row r="52" spans="2:53" ht="15" customHeight="1" x14ac:dyDescent="0.3">
      <c r="B52" s="177">
        <f>Tables!$F$13</f>
        <v>45931</v>
      </c>
      <c r="C52" s="177"/>
      <c r="D52" s="177"/>
      <c r="E52" s="177"/>
      <c r="F52" s="177"/>
      <c r="G52" s="71"/>
      <c r="H52" s="71"/>
      <c r="I52" s="71"/>
      <c r="R52" s="6" t="s">
        <v>257</v>
      </c>
      <c r="AV52" s="47">
        <f>AV51+1</f>
        <v>16</v>
      </c>
      <c r="AW52" s="4" t="s">
        <v>495</v>
      </c>
      <c r="BA52" s="37"/>
    </row>
    <row r="53" spans="2:53" ht="15" customHeight="1" x14ac:dyDescent="0.3">
      <c r="C53" s="2" t="s">
        <v>131</v>
      </c>
      <c r="D53" s="180">
        <f>IF(ISBLANK($E$7),0,$E$7)</f>
        <v>0</v>
      </c>
      <c r="E53" s="180"/>
      <c r="F53" s="180"/>
      <c r="G53" s="180"/>
      <c r="H53" s="180"/>
      <c r="I53" s="180"/>
      <c r="J53" s="180"/>
      <c r="K53" s="180"/>
      <c r="L53" s="180"/>
      <c r="M53" s="180"/>
      <c r="N53" s="180"/>
      <c r="O53" s="180"/>
      <c r="P53" s="180"/>
      <c r="Q53" s="180"/>
      <c r="R53" s="180"/>
      <c r="S53" s="180"/>
      <c r="T53" s="180"/>
      <c r="U53" s="180"/>
      <c r="V53" s="180"/>
      <c r="W53" s="180"/>
      <c r="X53" s="180"/>
      <c r="Y53" s="180"/>
      <c r="AD53" s="2" t="s">
        <v>158</v>
      </c>
      <c r="AE53" s="181">
        <f>IF(ISBLANK($AE$7),0,$AE$7)</f>
        <v>0</v>
      </c>
      <c r="AF53" s="181"/>
      <c r="AG53" s="181"/>
      <c r="AH53" s="181"/>
      <c r="AI53" s="181"/>
      <c r="AJ53" s="181"/>
      <c r="AW53" s="4" t="s">
        <v>496</v>
      </c>
    </row>
    <row r="54" spans="2:53" ht="15" customHeight="1" x14ac:dyDescent="0.3">
      <c r="B54" s="1" t="s">
        <v>375</v>
      </c>
      <c r="C54" s="1"/>
      <c r="D54" s="1"/>
      <c r="E54" s="1"/>
      <c r="F54" s="1"/>
      <c r="G54" s="1"/>
      <c r="H54" s="1"/>
      <c r="I54" s="1"/>
      <c r="J54" s="1"/>
      <c r="K54" s="2"/>
      <c r="L54" s="2"/>
      <c r="M54" s="2"/>
      <c r="N54" s="2"/>
      <c r="O54" s="3"/>
      <c r="P54" s="8"/>
      <c r="Q54" s="8"/>
      <c r="R54" s="8"/>
      <c r="S54" s="8"/>
      <c r="T54" s="8"/>
      <c r="U54" s="8"/>
      <c r="V54" s="8"/>
      <c r="W54" s="8"/>
      <c r="X54" s="8"/>
      <c r="Y54" s="8"/>
      <c r="Z54" s="8"/>
      <c r="AA54" s="8"/>
      <c r="AB54" s="8"/>
      <c r="AC54" s="8"/>
      <c r="AD54" s="2" t="s">
        <v>159</v>
      </c>
      <c r="AE54" s="178">
        <f>IF(ISBLANK($AE$8),0,$AE$8)</f>
        <v>0</v>
      </c>
      <c r="AF54" s="178"/>
      <c r="AG54" s="178"/>
      <c r="AH54" s="178"/>
      <c r="AI54" s="178"/>
      <c r="AJ54" s="178"/>
      <c r="AV54" s="47">
        <f>AV52+1</f>
        <v>17</v>
      </c>
      <c r="AW54" s="4" t="s">
        <v>345</v>
      </c>
    </row>
    <row r="55" spans="2:53" s="21" customFormat="1" ht="4.95" customHeight="1" x14ac:dyDescent="0.3">
      <c r="B55" s="1"/>
      <c r="C55" s="1"/>
      <c r="D55" s="1"/>
      <c r="E55" s="1"/>
      <c r="F55" s="1"/>
      <c r="G55" s="1"/>
      <c r="H55" s="1"/>
      <c r="I55" s="1"/>
      <c r="J55" s="1"/>
      <c r="AL55" s="45"/>
      <c r="AM55" s="45"/>
      <c r="AN55" s="45"/>
      <c r="AO55" s="45"/>
      <c r="AP55" s="45"/>
      <c r="AQ55" s="45"/>
      <c r="AR55" s="45"/>
      <c r="AS55" s="45"/>
      <c r="AT55" s="45"/>
    </row>
    <row r="56" spans="2:53" ht="15" customHeight="1" x14ac:dyDescent="0.3">
      <c r="C56" s="2"/>
      <c r="D56" s="2" t="s">
        <v>217</v>
      </c>
      <c r="E56" s="193"/>
      <c r="F56" s="193"/>
      <c r="G56" s="193"/>
      <c r="H56" s="193"/>
      <c r="M56" s="2" t="s">
        <v>222</v>
      </c>
      <c r="N56" s="193"/>
      <c r="O56" s="193"/>
      <c r="P56" s="193"/>
      <c r="Q56" s="193"/>
      <c r="AE56" s="2" t="s">
        <v>139</v>
      </c>
      <c r="AF56" s="54"/>
      <c r="AG56" s="4" t="s">
        <v>120</v>
      </c>
      <c r="AI56" s="54"/>
      <c r="AJ56" s="4" t="s">
        <v>121</v>
      </c>
      <c r="AL56" s="90">
        <f>IF(AND(ISBLANK(AF56),ISBLANK(AI56)),1,2)</f>
        <v>1</v>
      </c>
    </row>
    <row r="57" spans="2:53" ht="15" customHeight="1" x14ac:dyDescent="0.3">
      <c r="C57" s="2"/>
      <c r="D57" s="2" t="s">
        <v>218</v>
      </c>
      <c r="E57" s="196"/>
      <c r="F57" s="196"/>
      <c r="G57" s="196"/>
      <c r="H57" s="4" t="s">
        <v>39</v>
      </c>
      <c r="AL57" s="90">
        <f>IF(ISBLANK(E57),1,2)</f>
        <v>1</v>
      </c>
    </row>
    <row r="58" spans="2:53" ht="15" customHeight="1" x14ac:dyDescent="0.3">
      <c r="C58" s="2"/>
      <c r="D58" s="2" t="s">
        <v>219</v>
      </c>
      <c r="E58" s="196"/>
      <c r="F58" s="196"/>
      <c r="G58" s="196"/>
      <c r="H58" s="4" t="s">
        <v>39</v>
      </c>
      <c r="M58" s="2" t="s">
        <v>223</v>
      </c>
      <c r="N58" s="199"/>
      <c r="O58" s="199"/>
      <c r="P58" s="199"/>
      <c r="Q58" s="4" t="s">
        <v>39</v>
      </c>
      <c r="AL58" s="90">
        <f>IF(AND(ISBLANK(E58),ISBLANK(N58)),1,2)</f>
        <v>1</v>
      </c>
    </row>
    <row r="59" spans="2:53" ht="15" customHeight="1" x14ac:dyDescent="0.3">
      <c r="C59" s="2"/>
      <c r="D59" s="2" t="s">
        <v>220</v>
      </c>
      <c r="E59" s="196"/>
      <c r="F59" s="196"/>
      <c r="G59" s="196"/>
      <c r="H59" s="4" t="s">
        <v>39</v>
      </c>
      <c r="M59" s="2" t="s">
        <v>224</v>
      </c>
      <c r="N59" s="196"/>
      <c r="O59" s="196"/>
      <c r="P59" s="196"/>
      <c r="Q59" s="4" t="s">
        <v>39</v>
      </c>
    </row>
    <row r="60" spans="2:53" ht="4.95" customHeight="1" x14ac:dyDescent="0.3">
      <c r="C60" s="2"/>
      <c r="D60" s="2"/>
      <c r="E60" s="2"/>
      <c r="F60" s="14"/>
      <c r="G60" s="14"/>
      <c r="H60" s="14"/>
      <c r="I60" s="14"/>
      <c r="O60" s="2"/>
      <c r="P60" s="13"/>
      <c r="Q60" s="13"/>
      <c r="R60" s="13"/>
      <c r="S60" s="13"/>
    </row>
    <row r="61" spans="2:53" ht="15" customHeight="1" x14ac:dyDescent="0.3">
      <c r="C61" s="2"/>
      <c r="D61" s="2" t="s">
        <v>221</v>
      </c>
      <c r="E61" s="54"/>
      <c r="F61" s="4" t="s">
        <v>120</v>
      </c>
      <c r="I61" s="54"/>
      <c r="J61" s="4" t="s">
        <v>121</v>
      </c>
      <c r="AL61" s="90">
        <f>IF(AND(ISBLANK(E61),ISBLANK(I61)),1,2)</f>
        <v>1</v>
      </c>
      <c r="AM61" s="90">
        <f>IF(ISBLANK(I61),1,2)</f>
        <v>1</v>
      </c>
    </row>
    <row r="62" spans="2:53" ht="4.95" customHeight="1" x14ac:dyDescent="0.3">
      <c r="B62" s="2"/>
      <c r="C62" s="2"/>
      <c r="D62" s="2"/>
      <c r="E62" s="2"/>
    </row>
    <row r="63" spans="2:53" ht="15" customHeight="1" x14ac:dyDescent="0.3">
      <c r="F63" s="6" t="s">
        <v>30</v>
      </c>
      <c r="G63" s="6"/>
      <c r="H63" s="6"/>
      <c r="I63" s="6"/>
      <c r="J63" s="6" t="s">
        <v>244</v>
      </c>
      <c r="K63" s="6"/>
      <c r="L63" s="6"/>
      <c r="M63" s="6"/>
      <c r="N63" s="6"/>
      <c r="O63" s="6" t="s">
        <v>245</v>
      </c>
      <c r="P63" s="6"/>
      <c r="Q63" s="6"/>
      <c r="R63" s="6"/>
      <c r="T63" s="6" t="s">
        <v>37</v>
      </c>
      <c r="U63" s="6"/>
      <c r="V63" s="6"/>
      <c r="Y63" s="6" t="s">
        <v>72</v>
      </c>
      <c r="Z63" s="6"/>
      <c r="AA63" s="6"/>
      <c r="AD63" s="6" t="s">
        <v>304</v>
      </c>
      <c r="AE63" s="6"/>
      <c r="AF63" s="6"/>
    </row>
    <row r="64" spans="2:53" ht="15" customHeight="1" x14ac:dyDescent="0.3">
      <c r="C64" s="2"/>
      <c r="D64" s="2" t="s">
        <v>233</v>
      </c>
      <c r="E64" s="193"/>
      <c r="F64" s="193"/>
      <c r="G64" s="193"/>
      <c r="H64" s="6"/>
      <c r="I64" s="199"/>
      <c r="J64" s="199"/>
      <c r="K64" s="199"/>
      <c r="L64" s="4" t="s">
        <v>38</v>
      </c>
      <c r="M64" s="6"/>
      <c r="N64" s="199"/>
      <c r="O64" s="199"/>
      <c r="P64" s="199"/>
      <c r="Q64" s="4" t="s">
        <v>38</v>
      </c>
      <c r="R64" s="13"/>
      <c r="S64" s="199"/>
      <c r="T64" s="199"/>
      <c r="U64" s="199"/>
      <c r="V64" s="4" t="s">
        <v>39</v>
      </c>
      <c r="X64" s="199"/>
      <c r="Y64" s="199"/>
      <c r="Z64" s="199"/>
      <c r="AA64" s="4" t="s">
        <v>39</v>
      </c>
      <c r="AC64" s="199"/>
      <c r="AD64" s="199"/>
      <c r="AE64" s="199"/>
      <c r="AF64" s="4" t="s">
        <v>300</v>
      </c>
      <c r="AL64" s="90">
        <f>IF(ISBLANK(E64),1,2)</f>
        <v>1</v>
      </c>
    </row>
    <row r="65" spans="2:41" ht="15" customHeight="1" x14ac:dyDescent="0.3">
      <c r="C65" s="2"/>
      <c r="D65" s="2" t="s">
        <v>234</v>
      </c>
      <c r="E65" s="194"/>
      <c r="F65" s="194"/>
      <c r="G65" s="194"/>
      <c r="H65" s="6"/>
      <c r="I65" s="196"/>
      <c r="J65" s="196"/>
      <c r="K65" s="196"/>
      <c r="L65" s="4" t="str">
        <f>IF(E65="V-notch","deg","in")</f>
        <v>in</v>
      </c>
      <c r="M65" s="6"/>
      <c r="N65" s="196"/>
      <c r="O65" s="196"/>
      <c r="P65" s="196"/>
      <c r="Q65" s="4" t="s">
        <v>38</v>
      </c>
      <c r="R65" s="13"/>
      <c r="S65" s="196"/>
      <c r="T65" s="196"/>
      <c r="U65" s="196"/>
      <c r="V65" s="4" t="s">
        <v>39</v>
      </c>
      <c r="X65" s="6"/>
      <c r="AL65" s="90">
        <f>IF(ISBLANK(E65),1,2)</f>
        <v>1</v>
      </c>
    </row>
    <row r="66" spans="2:41" ht="4.95" customHeight="1" x14ac:dyDescent="0.3">
      <c r="C66" s="2"/>
      <c r="D66" s="2"/>
      <c r="E66" s="2"/>
      <c r="K66" s="13"/>
      <c r="L66" s="13"/>
      <c r="M66" s="13"/>
      <c r="N66" s="6"/>
      <c r="P66" s="13"/>
      <c r="Q66" s="13"/>
      <c r="R66" s="13"/>
      <c r="S66" s="13"/>
      <c r="U66" s="13"/>
      <c r="V66" s="13"/>
      <c r="W66" s="13"/>
      <c r="X66" s="6"/>
    </row>
    <row r="67" spans="2:41" ht="15" customHeight="1" x14ac:dyDescent="0.3">
      <c r="C67" s="2"/>
      <c r="D67" s="2" t="s">
        <v>283</v>
      </c>
      <c r="E67" s="54"/>
      <c r="F67" s="4" t="s">
        <v>120</v>
      </c>
      <c r="I67" s="54"/>
      <c r="J67" s="4" t="s">
        <v>121</v>
      </c>
      <c r="X67" s="85"/>
      <c r="AE67" s="2" t="s">
        <v>442</v>
      </c>
      <c r="AF67" s="46"/>
      <c r="AG67" s="4" t="s">
        <v>120</v>
      </c>
      <c r="AI67" s="46"/>
      <c r="AJ67" s="4" t="s">
        <v>121</v>
      </c>
      <c r="AL67" s="90">
        <f>IF(AND(ISBLANK(E67),ISBLANK(I67)),1,2)</f>
        <v>1</v>
      </c>
      <c r="AM67" s="90">
        <f>IF(ISBLANK(I67),1,2)</f>
        <v>1</v>
      </c>
      <c r="AN67" s="90">
        <f>IF(AND(ISBLANK(AF67),ISBLANK(AI67)),1,2)</f>
        <v>1</v>
      </c>
    </row>
    <row r="68" spans="2:41" ht="4.95" customHeight="1" x14ac:dyDescent="0.3">
      <c r="B68" s="2"/>
      <c r="C68" s="2"/>
      <c r="D68" s="2"/>
      <c r="E68" s="2"/>
    </row>
    <row r="69" spans="2:41" ht="15" customHeight="1" x14ac:dyDescent="0.3">
      <c r="B69" s="208" t="s">
        <v>225</v>
      </c>
      <c r="C69" s="208"/>
      <c r="D69" s="208"/>
      <c r="E69" s="193"/>
      <c r="F69" s="193"/>
      <c r="G69" s="193"/>
      <c r="I69" s="199"/>
      <c r="J69" s="199"/>
      <c r="K69" s="199"/>
      <c r="L69" s="4" t="str">
        <f t="shared" ref="L69:L77" si="5">IF(E69="V-notch","deg","in")</f>
        <v>in</v>
      </c>
      <c r="N69" s="199"/>
      <c r="O69" s="199"/>
      <c r="P69" s="199"/>
      <c r="Q69" s="4" t="s">
        <v>38</v>
      </c>
      <c r="R69" s="13"/>
      <c r="S69" s="199"/>
      <c r="T69" s="199"/>
      <c r="U69" s="199"/>
      <c r="V69" s="4" t="s">
        <v>39</v>
      </c>
      <c r="AE69" s="2" t="s">
        <v>443</v>
      </c>
      <c r="AF69" s="46"/>
      <c r="AG69" s="4" t="s">
        <v>120</v>
      </c>
      <c r="AI69" s="46"/>
      <c r="AJ69" s="4" t="s">
        <v>121</v>
      </c>
      <c r="AL69" s="90">
        <f>IF(B69="None: ",3,IF(OR(B69="Orifice: ",B69="Weir: "),2,1))</f>
        <v>1</v>
      </c>
      <c r="AN69" s="90">
        <f>IF(AND(ISBLANK(AF69),ISBLANK(AI69)),1,2)</f>
        <v>1</v>
      </c>
    </row>
    <row r="70" spans="2:41" ht="15" customHeight="1" x14ac:dyDescent="0.3">
      <c r="B70" s="208" t="s">
        <v>225</v>
      </c>
      <c r="C70" s="208"/>
      <c r="D70" s="208"/>
      <c r="E70" s="193"/>
      <c r="F70" s="193"/>
      <c r="G70" s="193"/>
      <c r="I70" s="196"/>
      <c r="J70" s="196"/>
      <c r="K70" s="196"/>
      <c r="L70" s="4" t="str">
        <f t="shared" si="5"/>
        <v>in</v>
      </c>
      <c r="N70" s="196"/>
      <c r="O70" s="196"/>
      <c r="P70" s="196"/>
      <c r="Q70" s="4" t="s">
        <v>38</v>
      </c>
      <c r="R70" s="13"/>
      <c r="S70" s="196"/>
      <c r="T70" s="196"/>
      <c r="U70" s="196"/>
      <c r="V70" s="4" t="s">
        <v>39</v>
      </c>
      <c r="AL70" s="90">
        <f t="shared" ref="AL70:AL77" si="6">IF(B70="None: ",3,IF(OR(B70="Orifice: ",B70="Weir: "),2,1))</f>
        <v>1</v>
      </c>
    </row>
    <row r="71" spans="2:41" ht="15" customHeight="1" x14ac:dyDescent="0.3">
      <c r="B71" s="208" t="s">
        <v>225</v>
      </c>
      <c r="C71" s="208"/>
      <c r="D71" s="208"/>
      <c r="E71" s="194"/>
      <c r="F71" s="194"/>
      <c r="G71" s="194"/>
      <c r="I71" s="196"/>
      <c r="J71" s="196"/>
      <c r="K71" s="196"/>
      <c r="L71" s="4" t="str">
        <f t="shared" si="5"/>
        <v>in</v>
      </c>
      <c r="N71" s="196"/>
      <c r="O71" s="196"/>
      <c r="P71" s="196"/>
      <c r="Q71" s="4" t="s">
        <v>38</v>
      </c>
      <c r="R71" s="13"/>
      <c r="S71" s="196"/>
      <c r="T71" s="196"/>
      <c r="U71" s="196"/>
      <c r="V71" s="4" t="s">
        <v>39</v>
      </c>
      <c r="AL71" s="90">
        <f t="shared" si="6"/>
        <v>1</v>
      </c>
    </row>
    <row r="72" spans="2:41" ht="15" customHeight="1" x14ac:dyDescent="0.3">
      <c r="B72" s="208" t="s">
        <v>225</v>
      </c>
      <c r="C72" s="208"/>
      <c r="D72" s="208"/>
      <c r="E72" s="193"/>
      <c r="F72" s="193"/>
      <c r="G72" s="193"/>
      <c r="I72" s="196"/>
      <c r="J72" s="196"/>
      <c r="K72" s="196"/>
      <c r="L72" s="4" t="str">
        <f t="shared" si="5"/>
        <v>in</v>
      </c>
      <c r="N72" s="196"/>
      <c r="O72" s="196"/>
      <c r="P72" s="196"/>
      <c r="Q72" s="4" t="s">
        <v>38</v>
      </c>
      <c r="R72" s="13"/>
      <c r="S72" s="196"/>
      <c r="T72" s="196"/>
      <c r="U72" s="196"/>
      <c r="V72" s="4" t="s">
        <v>39</v>
      </c>
      <c r="AL72" s="90">
        <f t="shared" si="6"/>
        <v>1</v>
      </c>
    </row>
    <row r="73" spans="2:41" ht="4.95" customHeight="1" x14ac:dyDescent="0.3">
      <c r="AL73" s="111"/>
    </row>
    <row r="74" spans="2:41" ht="15" customHeight="1" x14ac:dyDescent="0.3">
      <c r="B74" s="208" t="s">
        <v>225</v>
      </c>
      <c r="C74" s="208"/>
      <c r="D74" s="208"/>
      <c r="E74" s="193"/>
      <c r="F74" s="193"/>
      <c r="G74" s="193"/>
      <c r="I74" s="199"/>
      <c r="J74" s="199"/>
      <c r="K74" s="199"/>
      <c r="L74" s="4" t="str">
        <f t="shared" si="5"/>
        <v>in</v>
      </c>
      <c r="N74" s="199"/>
      <c r="O74" s="199"/>
      <c r="P74" s="199"/>
      <c r="Q74" s="4" t="s">
        <v>38</v>
      </c>
      <c r="R74" s="13"/>
      <c r="S74" s="199"/>
      <c r="T74" s="199"/>
      <c r="U74" s="199"/>
      <c r="V74" s="4" t="s">
        <v>39</v>
      </c>
      <c r="AL74" s="90">
        <f t="shared" si="6"/>
        <v>1</v>
      </c>
    </row>
    <row r="75" spans="2:41" ht="4.95" customHeight="1" x14ac:dyDescent="0.3">
      <c r="AL75" s="111"/>
    </row>
    <row r="76" spans="2:41" ht="15" customHeight="1" x14ac:dyDescent="0.3">
      <c r="B76" s="208" t="s">
        <v>225</v>
      </c>
      <c r="C76" s="208"/>
      <c r="D76" s="208"/>
      <c r="E76" s="193"/>
      <c r="F76" s="193"/>
      <c r="G76" s="193"/>
      <c r="I76" s="199"/>
      <c r="J76" s="199"/>
      <c r="K76" s="199"/>
      <c r="L76" s="4" t="str">
        <f t="shared" si="5"/>
        <v>in</v>
      </c>
      <c r="N76" s="199"/>
      <c r="O76" s="199"/>
      <c r="P76" s="199"/>
      <c r="Q76" s="4" t="s">
        <v>38</v>
      </c>
      <c r="R76" s="13"/>
      <c r="S76" s="199"/>
      <c r="T76" s="199"/>
      <c r="U76" s="199"/>
      <c r="V76" s="4" t="s">
        <v>39</v>
      </c>
      <c r="AL76" s="90">
        <f t="shared" si="6"/>
        <v>1</v>
      </c>
    </row>
    <row r="77" spans="2:41" ht="15" customHeight="1" x14ac:dyDescent="0.3">
      <c r="B77" s="208" t="s">
        <v>225</v>
      </c>
      <c r="C77" s="208"/>
      <c r="D77" s="208"/>
      <c r="E77" s="194"/>
      <c r="F77" s="194"/>
      <c r="G77" s="194"/>
      <c r="I77" s="196"/>
      <c r="J77" s="196"/>
      <c r="K77" s="196"/>
      <c r="L77" s="4" t="str">
        <f t="shared" si="5"/>
        <v>in</v>
      </c>
      <c r="N77" s="196"/>
      <c r="O77" s="196"/>
      <c r="P77" s="196"/>
      <c r="Q77" s="4" t="s">
        <v>38</v>
      </c>
      <c r="R77" s="13"/>
      <c r="S77" s="196"/>
      <c r="T77" s="196"/>
      <c r="U77" s="196"/>
      <c r="V77" s="4" t="s">
        <v>39</v>
      </c>
      <c r="AL77" s="90">
        <f t="shared" si="6"/>
        <v>1</v>
      </c>
    </row>
    <row r="78" spans="2:41" ht="15" customHeight="1" x14ac:dyDescent="0.3"/>
    <row r="79" spans="2:41" ht="15" customHeight="1" x14ac:dyDescent="0.3">
      <c r="B79" s="1" t="s">
        <v>374</v>
      </c>
      <c r="C79" s="1"/>
      <c r="D79" s="1"/>
      <c r="E79" s="1"/>
      <c r="F79" s="1"/>
      <c r="G79" s="1"/>
      <c r="H79" s="1"/>
      <c r="I79" s="1"/>
      <c r="J79" s="1"/>
      <c r="AE79" s="2" t="s">
        <v>139</v>
      </c>
      <c r="AF79" s="54"/>
      <c r="AG79" s="4" t="s">
        <v>120</v>
      </c>
      <c r="AI79" s="54"/>
      <c r="AJ79" s="16" t="s">
        <v>140</v>
      </c>
      <c r="AL79" s="95">
        <f>IF(AND(ISBLANK(AF79),ISBLANK(AI79)),1,2)</f>
        <v>1</v>
      </c>
      <c r="AM79" s="90">
        <f>SUM(AM80:AM82,AO80:AO82)</f>
        <v>0</v>
      </c>
      <c r="AN79" s="42" t="s">
        <v>75</v>
      </c>
    </row>
    <row r="80" spans="2:41" ht="15" customHeight="1" x14ac:dyDescent="0.3">
      <c r="C80" s="2"/>
      <c r="E80" s="2" t="s">
        <v>217</v>
      </c>
      <c r="F80" s="193"/>
      <c r="G80" s="193"/>
      <c r="H80" s="193"/>
      <c r="I80" s="193"/>
      <c r="N80" s="2" t="s">
        <v>222</v>
      </c>
      <c r="O80" s="193"/>
      <c r="P80" s="193"/>
      <c r="Q80" s="193"/>
      <c r="AL80" s="44" t="s">
        <v>46</v>
      </c>
      <c r="AM80" s="90">
        <f>IF(ISBLANK(F81),0,1)</f>
        <v>0</v>
      </c>
      <c r="AN80" s="44" t="s">
        <v>20</v>
      </c>
      <c r="AO80" s="90">
        <f>IF(ISBLANK(F80),0,1)</f>
        <v>0</v>
      </c>
    </row>
    <row r="81" spans="2:43" ht="15" customHeight="1" x14ac:dyDescent="0.3">
      <c r="C81" s="2"/>
      <c r="E81" s="2" t="s">
        <v>219</v>
      </c>
      <c r="F81" s="196"/>
      <c r="G81" s="196"/>
      <c r="H81" s="196"/>
      <c r="I81" s="4" t="s">
        <v>39</v>
      </c>
      <c r="N81" s="2" t="s">
        <v>223</v>
      </c>
      <c r="O81" s="196"/>
      <c r="P81" s="196"/>
      <c r="Q81" s="196"/>
      <c r="R81" s="4" t="s">
        <v>39</v>
      </c>
      <c r="V81" s="2" t="s">
        <v>228</v>
      </c>
      <c r="W81" s="199"/>
      <c r="X81" s="199"/>
      <c r="Y81" s="199"/>
      <c r="Z81" s="4" t="s">
        <v>39</v>
      </c>
      <c r="AE81" s="2" t="s">
        <v>229</v>
      </c>
      <c r="AF81" s="199"/>
      <c r="AG81" s="199"/>
      <c r="AH81" s="199"/>
      <c r="AI81" s="4" t="s">
        <v>39</v>
      </c>
      <c r="AL81" s="44" t="s">
        <v>72</v>
      </c>
      <c r="AM81" s="90">
        <f>IF(ISBLANK(O81),0,1)</f>
        <v>0</v>
      </c>
      <c r="AN81" s="44" t="s">
        <v>30</v>
      </c>
      <c r="AO81" s="90">
        <f>IF(ISBLANK(O80),0,1)</f>
        <v>0</v>
      </c>
    </row>
    <row r="82" spans="2:43" ht="15" customHeight="1" x14ac:dyDescent="0.3">
      <c r="B82" s="2"/>
      <c r="C82" s="2"/>
      <c r="D82" s="2"/>
      <c r="E82" s="2"/>
      <c r="F82" s="2"/>
      <c r="G82" s="2"/>
      <c r="H82" s="2"/>
      <c r="I82" s="2"/>
      <c r="J82" s="2"/>
      <c r="K82" s="2"/>
      <c r="L82" s="2"/>
      <c r="M82" s="2"/>
      <c r="N82" s="2"/>
      <c r="P82" s="2"/>
      <c r="Q82" s="2"/>
      <c r="R82" s="2"/>
      <c r="S82" s="2"/>
      <c r="T82" s="2"/>
      <c r="U82" s="2"/>
      <c r="V82" s="2"/>
      <c r="W82" s="2"/>
      <c r="X82" s="2"/>
      <c r="Z82" s="2"/>
      <c r="AA82" s="2"/>
      <c r="AB82" s="2"/>
      <c r="AC82" s="2"/>
      <c r="AD82" s="2"/>
      <c r="AE82" s="2"/>
      <c r="AF82" s="2"/>
      <c r="AG82" s="2"/>
      <c r="AH82" s="2"/>
      <c r="AI82" s="2"/>
      <c r="AJ82" s="2"/>
      <c r="AK82" s="2"/>
      <c r="AL82" s="44" t="s">
        <v>73</v>
      </c>
      <c r="AM82" s="90">
        <f>IF(ISBLANK(W81),0,1)</f>
        <v>0</v>
      </c>
      <c r="AN82" s="44" t="s">
        <v>74</v>
      </c>
      <c r="AO82" s="90">
        <f>IF(ISBLANK(AF81),0,1)</f>
        <v>0</v>
      </c>
    </row>
    <row r="83" spans="2:43" ht="15" customHeight="1" x14ac:dyDescent="0.3">
      <c r="B83" s="1" t="s">
        <v>14</v>
      </c>
      <c r="C83" s="1"/>
      <c r="D83" s="1"/>
      <c r="E83" s="1"/>
      <c r="N83" s="10" t="s">
        <v>160</v>
      </c>
      <c r="O83" s="209"/>
      <c r="P83" s="209"/>
      <c r="Q83" s="209"/>
      <c r="R83" s="209"/>
      <c r="V83" s="2" t="s">
        <v>161</v>
      </c>
      <c r="W83" s="210"/>
      <c r="X83" s="210"/>
      <c r="Y83" s="210"/>
      <c r="Z83" s="210"/>
      <c r="AL83" s="44" t="s">
        <v>143</v>
      </c>
      <c r="AM83" s="90">
        <f>AO83+AQ83</f>
        <v>0</v>
      </c>
      <c r="AN83" s="44" t="s">
        <v>141</v>
      </c>
      <c r="AO83" s="90">
        <f>IF(ISBLANK(O83),0,1)</f>
        <v>0</v>
      </c>
      <c r="AP83" s="44" t="s">
        <v>142</v>
      </c>
      <c r="AQ83" s="90">
        <f>IF(ISBLANK(W83),0,1)</f>
        <v>0</v>
      </c>
    </row>
    <row r="84" spans="2:43" ht="15" customHeight="1" x14ac:dyDescent="0.3">
      <c r="B84" s="1"/>
      <c r="C84" s="1"/>
      <c r="D84" s="1"/>
      <c r="E84" s="1"/>
      <c r="AL84" s="44"/>
      <c r="AM84" s="44"/>
      <c r="AN84" s="44" t="s">
        <v>378</v>
      </c>
      <c r="AO84" s="90">
        <f>IF(ISBLANK(O83),1,IF(ISTEXT(O83)=TRUE,3,2))</f>
        <v>1</v>
      </c>
      <c r="AP84" s="44" t="s">
        <v>379</v>
      </c>
      <c r="AQ84" s="90">
        <f>IF(ISBLANK(W83),1,IF(ISTEXT(W83)=TRUE,3,2))</f>
        <v>1</v>
      </c>
    </row>
    <row r="85" spans="2:43" ht="15" customHeight="1" x14ac:dyDescent="0.3">
      <c r="B85" s="1" t="s">
        <v>419</v>
      </c>
      <c r="C85" s="1"/>
      <c r="D85" s="1"/>
      <c r="E85" s="1"/>
      <c r="K85" s="2" t="s">
        <v>421</v>
      </c>
      <c r="L85" s="193"/>
      <c r="M85" s="193"/>
      <c r="N85" s="193"/>
      <c r="O85" s="193"/>
      <c r="P85" s="193"/>
      <c r="Q85" s="193"/>
      <c r="R85" s="193"/>
      <c r="S85" s="193"/>
      <c r="T85" s="193"/>
      <c r="AE85" s="2" t="s">
        <v>139</v>
      </c>
      <c r="AF85" s="54"/>
      <c r="AG85" s="4" t="s">
        <v>120</v>
      </c>
      <c r="AI85" s="54"/>
      <c r="AJ85" s="16" t="s">
        <v>140</v>
      </c>
      <c r="AL85" s="90">
        <f>IF(ISBLANK(L85),1,0)</f>
        <v>1</v>
      </c>
      <c r="AM85" s="95">
        <f>SUM(AL85,AO85,AL87:AO87)</f>
        <v>6</v>
      </c>
      <c r="AN85" s="44"/>
      <c r="AO85" s="95">
        <f>IF(AND(ISBLANK(AF85),ISBLANK(AI85)),1,0)</f>
        <v>1</v>
      </c>
      <c r="AP85" s="90">
        <f>IF(ISBLANK(AI85),1,2)</f>
        <v>1</v>
      </c>
    </row>
    <row r="86" spans="2:43" ht="4.95" customHeight="1" x14ac:dyDescent="0.3">
      <c r="AN86" s="44"/>
      <c r="AO86" s="44"/>
      <c r="AP86" s="44"/>
      <c r="AQ86" s="44"/>
    </row>
    <row r="87" spans="2:43" ht="15" customHeight="1" x14ac:dyDescent="0.3">
      <c r="E87" s="2" t="s">
        <v>223</v>
      </c>
      <c r="F87" s="199"/>
      <c r="G87" s="199"/>
      <c r="H87" s="4" t="s">
        <v>39</v>
      </c>
      <c r="K87" s="2" t="s">
        <v>219</v>
      </c>
      <c r="L87" s="199"/>
      <c r="M87" s="199"/>
      <c r="N87" s="4" t="s">
        <v>39</v>
      </c>
      <c r="Q87" s="2" t="s">
        <v>420</v>
      </c>
      <c r="R87" s="199"/>
      <c r="S87" s="199"/>
      <c r="T87" s="4" t="s">
        <v>39</v>
      </c>
      <c r="AE87" s="2" t="s">
        <v>427</v>
      </c>
      <c r="AF87" s="54"/>
      <c r="AG87" s="4" t="s">
        <v>120</v>
      </c>
      <c r="AI87" s="54"/>
      <c r="AJ87" s="16" t="s">
        <v>140</v>
      </c>
      <c r="AL87" s="90">
        <f>IF(ISBLANK(F87),1,0)</f>
        <v>1</v>
      </c>
      <c r="AM87" s="90">
        <f>IF(ISBLANK(L87),1,0)</f>
        <v>1</v>
      </c>
      <c r="AN87" s="90">
        <f>IF(ISBLANK(R87),1,0)</f>
        <v>1</v>
      </c>
      <c r="AO87" s="95">
        <f>IF(AND(ISBLANK(AF87),ISBLANK(AI87)),1,0)</f>
        <v>1</v>
      </c>
      <c r="AP87" s="90">
        <f>IF(ISBLANK(AI87),1,2)</f>
        <v>1</v>
      </c>
    </row>
    <row r="88" spans="2:43" ht="15" customHeight="1" x14ac:dyDescent="0.3">
      <c r="AN88" s="44"/>
      <c r="AO88" s="44"/>
      <c r="AP88" s="44"/>
    </row>
    <row r="89" spans="2:43" ht="19.95" customHeight="1" x14ac:dyDescent="0.3">
      <c r="B89" s="1" t="s">
        <v>352</v>
      </c>
      <c r="C89" s="1"/>
      <c r="D89" s="1"/>
      <c r="E89" s="1"/>
      <c r="F89" s="1"/>
      <c r="G89" s="1"/>
      <c r="H89" s="1"/>
      <c r="I89" s="1"/>
      <c r="J89" s="1"/>
      <c r="AF89" s="2" t="s">
        <v>431</v>
      </c>
      <c r="AG89" s="199"/>
      <c r="AH89" s="199"/>
      <c r="AI89" s="4" t="s">
        <v>300</v>
      </c>
      <c r="AL89" s="90">
        <f>IF(ISBLANK(AG89),0,IF(AG89&lt;Tables!F38,1,""))</f>
        <v>0</v>
      </c>
      <c r="AM89" s="44"/>
      <c r="AN89" s="44"/>
      <c r="AO89" s="44"/>
      <c r="AP89" s="44"/>
    </row>
    <row r="90" spans="2:43" ht="15" customHeight="1" x14ac:dyDescent="0.3">
      <c r="D90" s="6" t="s">
        <v>15</v>
      </c>
      <c r="G90" s="6"/>
      <c r="H90" s="6"/>
      <c r="I90" s="6" t="s">
        <v>16</v>
      </c>
      <c r="L90" s="6"/>
      <c r="M90" s="4" t="s">
        <v>45</v>
      </c>
      <c r="N90" s="6"/>
      <c r="T90" s="6" t="s">
        <v>15</v>
      </c>
      <c r="Y90" s="6" t="s">
        <v>16</v>
      </c>
      <c r="AA90" s="6"/>
      <c r="AB90" s="6"/>
      <c r="AC90" s="6"/>
      <c r="AD90" s="4" t="s">
        <v>45</v>
      </c>
      <c r="AF90" s="6"/>
      <c r="AG90" s="6"/>
      <c r="AH90" s="6"/>
      <c r="AL90" s="44"/>
      <c r="AM90" s="44"/>
      <c r="AN90" s="44"/>
      <c r="AO90" s="44"/>
      <c r="AP90" s="44"/>
    </row>
    <row r="91" spans="2:43" ht="15" customHeight="1" x14ac:dyDescent="0.3">
      <c r="C91" s="199"/>
      <c r="D91" s="199"/>
      <c r="E91" s="199"/>
      <c r="F91" s="4" t="s">
        <v>39</v>
      </c>
      <c r="H91" s="200"/>
      <c r="I91" s="200"/>
      <c r="J91" s="200"/>
      <c r="K91" s="4" t="s">
        <v>35</v>
      </c>
      <c r="M91" s="200"/>
      <c r="N91" s="200"/>
      <c r="O91" s="200"/>
      <c r="P91" s="200"/>
      <c r="Q91" s="4" t="s">
        <v>33</v>
      </c>
      <c r="S91" s="199"/>
      <c r="T91" s="199"/>
      <c r="U91" s="199"/>
      <c r="V91" s="4" t="s">
        <v>39</v>
      </c>
      <c r="X91" s="200"/>
      <c r="Y91" s="200"/>
      <c r="Z91" s="200"/>
      <c r="AA91" s="4" t="s">
        <v>35</v>
      </c>
      <c r="AD91" s="200"/>
      <c r="AE91" s="200"/>
      <c r="AF91" s="200"/>
      <c r="AG91" s="200"/>
      <c r="AH91" s="4" t="s">
        <v>33</v>
      </c>
      <c r="AL91" s="90">
        <f t="shared" ref="AL91:AL97" si="7">IF(ISBLANK(C91),1,2)</f>
        <v>1</v>
      </c>
      <c r="AM91" s="90">
        <f t="shared" ref="AM91:AM97" si="8">IF(ISBLANK(S91),1,2)</f>
        <v>1</v>
      </c>
      <c r="AN91" s="90">
        <f>IF(ISBLANK(H91),1,2)</f>
        <v>1</v>
      </c>
      <c r="AO91" s="90">
        <f>IF(ISBLANK(M91),1,2)</f>
        <v>1</v>
      </c>
      <c r="AP91" s="44"/>
    </row>
    <row r="92" spans="2:43" ht="15" customHeight="1" x14ac:dyDescent="0.3">
      <c r="C92" s="196"/>
      <c r="D92" s="196"/>
      <c r="E92" s="196"/>
      <c r="F92" s="4" t="s">
        <v>39</v>
      </c>
      <c r="H92" s="201"/>
      <c r="I92" s="201"/>
      <c r="J92" s="201"/>
      <c r="K92" s="4" t="s">
        <v>35</v>
      </c>
      <c r="M92" s="201"/>
      <c r="N92" s="201"/>
      <c r="O92" s="201"/>
      <c r="P92" s="201"/>
      <c r="Q92" s="4" t="s">
        <v>33</v>
      </c>
      <c r="S92" s="196"/>
      <c r="T92" s="196"/>
      <c r="U92" s="196"/>
      <c r="V92" s="4" t="s">
        <v>39</v>
      </c>
      <c r="X92" s="201"/>
      <c r="Y92" s="201"/>
      <c r="Z92" s="201"/>
      <c r="AA92" s="4" t="s">
        <v>35</v>
      </c>
      <c r="AD92" s="201"/>
      <c r="AE92" s="201"/>
      <c r="AF92" s="201"/>
      <c r="AG92" s="201"/>
      <c r="AH92" s="4" t="s">
        <v>33</v>
      </c>
      <c r="AL92" s="90">
        <f t="shared" si="7"/>
        <v>1</v>
      </c>
      <c r="AM92" s="90">
        <f t="shared" si="8"/>
        <v>1</v>
      </c>
      <c r="AO92" s="44"/>
      <c r="AP92" s="44"/>
    </row>
    <row r="93" spans="2:43" ht="15" customHeight="1" x14ac:dyDescent="0.3">
      <c r="C93" s="196"/>
      <c r="D93" s="196"/>
      <c r="E93" s="196"/>
      <c r="F93" s="4" t="s">
        <v>39</v>
      </c>
      <c r="H93" s="201"/>
      <c r="I93" s="201"/>
      <c r="J93" s="201"/>
      <c r="K93" s="4" t="s">
        <v>35</v>
      </c>
      <c r="M93" s="201"/>
      <c r="N93" s="201"/>
      <c r="O93" s="201"/>
      <c r="P93" s="201"/>
      <c r="Q93" s="4" t="s">
        <v>33</v>
      </c>
      <c r="S93" s="196"/>
      <c r="T93" s="196"/>
      <c r="U93" s="196"/>
      <c r="V93" s="4" t="s">
        <v>39</v>
      </c>
      <c r="X93" s="201"/>
      <c r="Y93" s="201"/>
      <c r="Z93" s="201"/>
      <c r="AA93" s="4" t="s">
        <v>35</v>
      </c>
      <c r="AD93" s="201"/>
      <c r="AE93" s="201"/>
      <c r="AF93" s="201"/>
      <c r="AG93" s="201"/>
      <c r="AH93" s="4" t="s">
        <v>33</v>
      </c>
      <c r="AL93" s="90">
        <f t="shared" si="7"/>
        <v>1</v>
      </c>
      <c r="AM93" s="90">
        <f t="shared" si="8"/>
        <v>1</v>
      </c>
      <c r="AO93" s="44"/>
      <c r="AP93" s="44"/>
    </row>
    <row r="94" spans="2:43" ht="15" customHeight="1" x14ac:dyDescent="0.3">
      <c r="C94" s="196"/>
      <c r="D94" s="196"/>
      <c r="E94" s="196"/>
      <c r="F94" s="4" t="s">
        <v>39</v>
      </c>
      <c r="H94" s="201"/>
      <c r="I94" s="201"/>
      <c r="J94" s="201"/>
      <c r="K94" s="4" t="s">
        <v>35</v>
      </c>
      <c r="M94" s="201"/>
      <c r="N94" s="201"/>
      <c r="O94" s="201"/>
      <c r="P94" s="201"/>
      <c r="Q94" s="4" t="s">
        <v>33</v>
      </c>
      <c r="S94" s="196"/>
      <c r="T94" s="196"/>
      <c r="U94" s="196"/>
      <c r="V94" s="4" t="s">
        <v>39</v>
      </c>
      <c r="X94" s="201"/>
      <c r="Y94" s="201"/>
      <c r="Z94" s="201"/>
      <c r="AA94" s="4" t="s">
        <v>35</v>
      </c>
      <c r="AD94" s="201"/>
      <c r="AE94" s="201"/>
      <c r="AF94" s="201"/>
      <c r="AG94" s="201"/>
      <c r="AH94" s="4" t="s">
        <v>33</v>
      </c>
      <c r="AL94" s="90">
        <f t="shared" si="7"/>
        <v>1</v>
      </c>
      <c r="AM94" s="90">
        <f t="shared" si="8"/>
        <v>1</v>
      </c>
      <c r="AO94" s="44"/>
      <c r="AP94" s="44"/>
    </row>
    <row r="95" spans="2:43" ht="15" customHeight="1" x14ac:dyDescent="0.3">
      <c r="C95" s="196"/>
      <c r="D95" s="196"/>
      <c r="E95" s="196"/>
      <c r="F95" s="4" t="s">
        <v>39</v>
      </c>
      <c r="H95" s="201"/>
      <c r="I95" s="201"/>
      <c r="J95" s="201"/>
      <c r="K95" s="4" t="s">
        <v>35</v>
      </c>
      <c r="M95" s="201"/>
      <c r="N95" s="201"/>
      <c r="O95" s="201"/>
      <c r="P95" s="201"/>
      <c r="Q95" s="4" t="s">
        <v>33</v>
      </c>
      <c r="S95" s="196"/>
      <c r="T95" s="196"/>
      <c r="U95" s="196"/>
      <c r="V95" s="4" t="s">
        <v>39</v>
      </c>
      <c r="X95" s="201"/>
      <c r="Y95" s="201"/>
      <c r="Z95" s="201"/>
      <c r="AA95" s="4" t="s">
        <v>35</v>
      </c>
      <c r="AD95" s="201"/>
      <c r="AE95" s="201"/>
      <c r="AF95" s="201"/>
      <c r="AG95" s="201"/>
      <c r="AH95" s="4" t="s">
        <v>33</v>
      </c>
      <c r="AL95" s="90">
        <f t="shared" si="7"/>
        <v>1</v>
      </c>
      <c r="AM95" s="90">
        <f t="shared" si="8"/>
        <v>1</v>
      </c>
    </row>
    <row r="96" spans="2:43" ht="15" customHeight="1" x14ac:dyDescent="0.3">
      <c r="C96" s="196"/>
      <c r="D96" s="196"/>
      <c r="E96" s="196"/>
      <c r="F96" s="4" t="s">
        <v>39</v>
      </c>
      <c r="H96" s="201"/>
      <c r="I96" s="201"/>
      <c r="J96" s="201"/>
      <c r="K96" s="4" t="s">
        <v>35</v>
      </c>
      <c r="M96" s="201"/>
      <c r="N96" s="201"/>
      <c r="O96" s="201"/>
      <c r="P96" s="201"/>
      <c r="Q96" s="4" t="s">
        <v>33</v>
      </c>
      <c r="S96" s="196"/>
      <c r="T96" s="196"/>
      <c r="U96" s="196"/>
      <c r="V96" s="4" t="s">
        <v>39</v>
      </c>
      <c r="X96" s="201"/>
      <c r="Y96" s="201"/>
      <c r="Z96" s="201"/>
      <c r="AA96" s="4" t="s">
        <v>35</v>
      </c>
      <c r="AD96" s="201"/>
      <c r="AE96" s="201"/>
      <c r="AF96" s="201"/>
      <c r="AG96" s="201"/>
      <c r="AH96" s="4" t="s">
        <v>33</v>
      </c>
      <c r="AL96" s="90">
        <f t="shared" si="7"/>
        <v>1</v>
      </c>
      <c r="AM96" s="90">
        <f t="shared" si="8"/>
        <v>1</v>
      </c>
    </row>
    <row r="97" spans="2:46" ht="15" customHeight="1" x14ac:dyDescent="0.3">
      <c r="C97" s="196"/>
      <c r="D97" s="196"/>
      <c r="E97" s="196"/>
      <c r="F97" s="4" t="s">
        <v>39</v>
      </c>
      <c r="H97" s="201"/>
      <c r="I97" s="201"/>
      <c r="J97" s="201"/>
      <c r="K97" s="4" t="s">
        <v>35</v>
      </c>
      <c r="M97" s="201"/>
      <c r="N97" s="201"/>
      <c r="O97" s="201"/>
      <c r="P97" s="201"/>
      <c r="Q97" s="4" t="s">
        <v>33</v>
      </c>
      <c r="S97" s="196"/>
      <c r="T97" s="196"/>
      <c r="U97" s="196"/>
      <c r="V97" s="4" t="s">
        <v>39</v>
      </c>
      <c r="X97" s="201"/>
      <c r="Y97" s="201"/>
      <c r="Z97" s="201"/>
      <c r="AA97" s="4" t="s">
        <v>35</v>
      </c>
      <c r="AD97" s="201"/>
      <c r="AE97" s="201"/>
      <c r="AF97" s="201"/>
      <c r="AG97" s="201"/>
      <c r="AH97" s="4" t="s">
        <v>33</v>
      </c>
      <c r="AL97" s="90">
        <f t="shared" si="7"/>
        <v>1</v>
      </c>
      <c r="AM97" s="90">
        <f t="shared" si="8"/>
        <v>1</v>
      </c>
    </row>
    <row r="98" spans="2:46" ht="23.4" x14ac:dyDescent="0.3">
      <c r="G98" s="14" t="s">
        <v>230</v>
      </c>
      <c r="H98" s="207">
        <f>$W$19</f>
        <v>0</v>
      </c>
      <c r="I98" s="207"/>
      <c r="J98" s="207"/>
      <c r="K98" s="4" t="s">
        <v>33</v>
      </c>
      <c r="P98" s="15"/>
      <c r="Q98" s="12"/>
      <c r="R98" s="14" t="s">
        <v>231</v>
      </c>
      <c r="S98" s="201"/>
      <c r="T98" s="201"/>
      <c r="U98" s="201"/>
      <c r="V98" s="4" t="s">
        <v>33</v>
      </c>
      <c r="AC98" s="12" t="s">
        <v>531</v>
      </c>
      <c r="AD98" s="179"/>
      <c r="AE98" s="179"/>
      <c r="AF98" s="179"/>
      <c r="AG98" s="179"/>
      <c r="AH98" s="4" t="s">
        <v>39</v>
      </c>
      <c r="AL98" s="44" t="s">
        <v>146</v>
      </c>
      <c r="AM98" s="90" t="str">
        <f>IF(ISBLANK(S98),"",IF(ISTEXT(S98),2,IF(OR(S98=H98,S98&gt;H98),1,2)))</f>
        <v/>
      </c>
      <c r="AN98" s="90">
        <f>IF(ISTEXT(S98),2,0)</f>
        <v>0</v>
      </c>
      <c r="AO98" s="90">
        <f>IF(ISTEXT(AD98),2,0)</f>
        <v>0</v>
      </c>
      <c r="AP98" s="90">
        <f>IF(OR(ISBLANK(H98),ISBLANK(S98)),2,1)</f>
        <v>2</v>
      </c>
    </row>
    <row r="99" spans="2:46" ht="15" customHeight="1" x14ac:dyDescent="0.3"/>
    <row r="100" spans="2:46" ht="15" customHeight="1" x14ac:dyDescent="0.3"/>
    <row r="101" spans="2:46" ht="15" customHeight="1" x14ac:dyDescent="0.3">
      <c r="B101" s="177">
        <f>Tables!$F$13</f>
        <v>45931</v>
      </c>
      <c r="C101" s="177"/>
      <c r="D101" s="177"/>
      <c r="E101" s="177"/>
      <c r="F101" s="177"/>
      <c r="G101" s="71"/>
      <c r="H101" s="71"/>
      <c r="I101" s="71"/>
      <c r="R101" s="6" t="s">
        <v>256</v>
      </c>
    </row>
    <row r="102" spans="2:46" ht="15" customHeight="1" x14ac:dyDescent="0.3">
      <c r="C102" s="2" t="s">
        <v>131</v>
      </c>
      <c r="D102" s="180">
        <f>IF(ISBLANK($E$7),0,$E$7)</f>
        <v>0</v>
      </c>
      <c r="E102" s="180"/>
      <c r="F102" s="180"/>
      <c r="G102" s="180"/>
      <c r="H102" s="180"/>
      <c r="I102" s="180"/>
      <c r="J102" s="180"/>
      <c r="K102" s="180"/>
      <c r="L102" s="180"/>
      <c r="M102" s="180"/>
      <c r="N102" s="180"/>
      <c r="O102" s="180"/>
      <c r="P102" s="180"/>
      <c r="Q102" s="180"/>
      <c r="R102" s="180"/>
      <c r="S102" s="180"/>
      <c r="T102" s="180"/>
      <c r="U102" s="180"/>
      <c r="V102" s="180"/>
      <c r="W102" s="180"/>
      <c r="X102" s="180"/>
      <c r="Y102" s="180"/>
      <c r="AD102" s="2" t="s">
        <v>158</v>
      </c>
      <c r="AE102" s="181">
        <f>IF(ISBLANK($AE$7),0,$AE$7)</f>
        <v>0</v>
      </c>
      <c r="AF102" s="181"/>
      <c r="AG102" s="181"/>
      <c r="AH102" s="181"/>
      <c r="AI102" s="181"/>
      <c r="AJ102" s="181"/>
      <c r="AM102" s="44" t="s">
        <v>295</v>
      </c>
      <c r="AN102" s="95">
        <f>Tables!E28</f>
        <v>6</v>
      </c>
      <c r="AO102" s="101"/>
      <c r="AP102" s="101"/>
    </row>
    <row r="103" spans="2:46" ht="15" customHeight="1" x14ac:dyDescent="0.3">
      <c r="F103" s="3"/>
      <c r="G103" s="3"/>
      <c r="H103" s="3"/>
      <c r="I103" s="3"/>
      <c r="J103" s="3"/>
      <c r="K103" s="2"/>
      <c r="M103" s="2"/>
      <c r="N103" s="2"/>
      <c r="O103" s="3"/>
      <c r="P103" s="8"/>
      <c r="Q103" s="8"/>
      <c r="R103" s="8"/>
      <c r="S103" s="8"/>
      <c r="T103" s="8"/>
      <c r="U103" s="8"/>
      <c r="V103" s="8"/>
      <c r="W103" s="8"/>
      <c r="X103" s="8"/>
      <c r="Y103" s="8"/>
      <c r="Z103" s="8"/>
      <c r="AA103" s="8"/>
      <c r="AB103" s="8"/>
      <c r="AC103" s="8"/>
      <c r="AD103" s="2" t="s">
        <v>159</v>
      </c>
      <c r="AE103" s="178">
        <f>IF(ISBLANK($AE$8),0,$AE$8)</f>
        <v>0</v>
      </c>
      <c r="AF103" s="178"/>
      <c r="AG103" s="178"/>
      <c r="AH103" s="178"/>
      <c r="AI103" s="178"/>
      <c r="AJ103" s="178"/>
      <c r="AM103" s="75" t="s">
        <v>373</v>
      </c>
      <c r="AR103" s="75" t="s">
        <v>372</v>
      </c>
      <c r="AS103" s="75"/>
      <c r="AT103" s="75"/>
    </row>
    <row r="104" spans="2:46" ht="15" customHeight="1" x14ac:dyDescent="0.3">
      <c r="B104" s="1" t="s">
        <v>351</v>
      </c>
      <c r="Y104" s="197" t="s">
        <v>372</v>
      </c>
      <c r="Z104" s="197"/>
      <c r="AA104" s="197"/>
      <c r="AC104" s="197" t="s">
        <v>373</v>
      </c>
      <c r="AD104" s="197"/>
      <c r="AE104" s="197"/>
      <c r="AL104" s="75" t="s">
        <v>69</v>
      </c>
      <c r="AM104" s="75" t="s">
        <v>194</v>
      </c>
      <c r="AN104" s="75" t="s">
        <v>70</v>
      </c>
      <c r="AO104" s="75" t="s">
        <v>305</v>
      </c>
      <c r="AP104" s="75" t="s">
        <v>357</v>
      </c>
      <c r="AQ104" s="75" t="s">
        <v>248</v>
      </c>
      <c r="AR104" s="75" t="s">
        <v>194</v>
      </c>
      <c r="AS104" s="75"/>
      <c r="AT104" s="75"/>
    </row>
    <row r="105" spans="2:46" ht="30" customHeight="1" x14ac:dyDescent="0.3">
      <c r="G105" s="1"/>
      <c r="H105" s="1"/>
      <c r="I105" s="205" t="s">
        <v>55</v>
      </c>
      <c r="J105" s="205"/>
      <c r="K105" s="205"/>
      <c r="M105" s="205" t="s">
        <v>530</v>
      </c>
      <c r="N105" s="197"/>
      <c r="O105" s="197"/>
      <c r="P105" s="17"/>
      <c r="Q105" s="205" t="s">
        <v>56</v>
      </c>
      <c r="R105" s="205"/>
      <c r="S105" s="205"/>
      <c r="T105" s="17"/>
      <c r="U105" s="205" t="s">
        <v>203</v>
      </c>
      <c r="V105" s="205"/>
      <c r="W105" s="205"/>
      <c r="Y105" s="205" t="s">
        <v>174</v>
      </c>
      <c r="Z105" s="205"/>
      <c r="AA105" s="205"/>
      <c r="AC105" s="205" t="s">
        <v>174</v>
      </c>
      <c r="AD105" s="205"/>
      <c r="AE105" s="205"/>
      <c r="AG105" s="205" t="s">
        <v>58</v>
      </c>
      <c r="AH105" s="205"/>
      <c r="AI105" s="205"/>
      <c r="AJ105" s="205"/>
      <c r="AL105" s="90">
        <f>SUM(AL106:AL109)</f>
        <v>4</v>
      </c>
      <c r="AM105" s="90">
        <f t="shared" ref="AM105:AR105" si="9">SUM(AM106:AM111)</f>
        <v>6</v>
      </c>
      <c r="AN105" s="90">
        <f t="shared" si="9"/>
        <v>6</v>
      </c>
      <c r="AO105" s="90">
        <f t="shared" si="9"/>
        <v>0</v>
      </c>
      <c r="AP105" s="90">
        <f t="shared" si="9"/>
        <v>0</v>
      </c>
      <c r="AQ105" s="94">
        <f t="shared" si="9"/>
        <v>6</v>
      </c>
      <c r="AR105" s="90">
        <f t="shared" si="9"/>
        <v>6</v>
      </c>
      <c r="AS105" s="75"/>
      <c r="AT105" s="75"/>
    </row>
    <row r="106" spans="2:46" ht="15" customHeight="1" x14ac:dyDescent="0.3">
      <c r="B106" s="206">
        <f>Tables!$F$16</f>
        <v>6.02</v>
      </c>
      <c r="C106" s="206"/>
      <c r="D106" s="13"/>
      <c r="E106" s="13"/>
      <c r="G106" s="2" t="str">
        <f>Tables!$D$16</f>
        <v>(2-yr)</v>
      </c>
      <c r="H106" s="2"/>
      <c r="I106" s="204"/>
      <c r="J106" s="204"/>
      <c r="K106" s="204"/>
      <c r="M106" s="204"/>
      <c r="N106" s="204"/>
      <c r="O106" s="204"/>
      <c r="Q106" s="204"/>
      <c r="R106" s="204"/>
      <c r="S106" s="204"/>
      <c r="U106" s="204"/>
      <c r="V106" s="204"/>
      <c r="W106" s="204"/>
      <c r="Y106" s="204"/>
      <c r="Z106" s="204"/>
      <c r="AA106" s="204"/>
      <c r="AC106" s="204"/>
      <c r="AD106" s="204"/>
      <c r="AE106" s="204"/>
      <c r="AG106" s="204"/>
      <c r="AH106" s="204"/>
      <c r="AI106" s="204"/>
      <c r="AL106" s="90">
        <f>IF(OR(ISBLANK(U106),ISBLANK(W$81)),1,IF(U106&gt;W$81,1,0))</f>
        <v>1</v>
      </c>
      <c r="AM106" s="90">
        <f t="shared" ref="AM106:AM111" si="10">IF(ISBLANK(AC106),1,IF(AC106&gt;$AM$112,1,0))</f>
        <v>1</v>
      </c>
      <c r="AN106" s="90">
        <f t="shared" ref="AN106:AN111" si="11">IF(OR(ISBLANK(AG106),ISBLANK(I106)),1,IF(AG106&gt;I106,1,0))</f>
        <v>1</v>
      </c>
      <c r="AO106" s="90">
        <f t="shared" ref="AO106:AO111" si="12">IF(OR($AN$124=0,$AN$142=2),0,IF(AG106&gt;$AN$124,1,0))</f>
        <v>0</v>
      </c>
      <c r="AP106" s="90">
        <f t="shared" ref="AP106:AP111" si="13">IF(OR($AN$126=0,$AN$142=2),0,IF($AG106&gt;$AN$126,1,0))</f>
        <v>0</v>
      </c>
      <c r="AQ106" s="94">
        <f t="shared" ref="AQ106:AQ111" si="14">IF(OR(ISBLANK(I106),ISBLANK(AG106)),1,IF(ISERROR(AG106-I106&gt;-0.5),0,IF(AG106-I106&gt;-0.5,1,0)))</f>
        <v>1</v>
      </c>
      <c r="AR106" s="90">
        <f t="shared" ref="AR106:AR111" si="15">IF(ISBLANK(Y106),1,IF(Y106&gt;$AM$112,1,0))</f>
        <v>1</v>
      </c>
      <c r="AS106" s="75"/>
      <c r="AT106" s="75"/>
    </row>
    <row r="107" spans="2:46" ht="15" customHeight="1" x14ac:dyDescent="0.3">
      <c r="B107" s="206">
        <f>Tables!$F$17</f>
        <v>7.68</v>
      </c>
      <c r="C107" s="206"/>
      <c r="D107" s="13"/>
      <c r="E107" s="13"/>
      <c r="G107" s="2" t="str">
        <f>Tables!$D$17</f>
        <v>(5-yr)</v>
      </c>
      <c r="H107" s="2"/>
      <c r="I107" s="179"/>
      <c r="J107" s="179"/>
      <c r="K107" s="179"/>
      <c r="M107" s="179"/>
      <c r="N107" s="179"/>
      <c r="O107" s="179"/>
      <c r="Q107" s="179"/>
      <c r="R107" s="179"/>
      <c r="S107" s="179"/>
      <c r="U107" s="179"/>
      <c r="V107" s="179"/>
      <c r="W107" s="179"/>
      <c r="Y107" s="179"/>
      <c r="Z107" s="179"/>
      <c r="AA107" s="179"/>
      <c r="AC107" s="179"/>
      <c r="AD107" s="179"/>
      <c r="AE107" s="179"/>
      <c r="AG107" s="179"/>
      <c r="AH107" s="179"/>
      <c r="AI107" s="179"/>
      <c r="AL107" s="90">
        <f>IF(OR(ISBLANK(U107),ISBLANK(W$81)),1,IF(U107&gt;W$81,1,0))</f>
        <v>1</v>
      </c>
      <c r="AM107" s="90">
        <f t="shared" si="10"/>
        <v>1</v>
      </c>
      <c r="AN107" s="90">
        <f t="shared" si="11"/>
        <v>1</v>
      </c>
      <c r="AO107" s="90">
        <f t="shared" si="12"/>
        <v>0</v>
      </c>
      <c r="AP107" s="90">
        <f t="shared" si="13"/>
        <v>0</v>
      </c>
      <c r="AQ107" s="94">
        <f t="shared" si="14"/>
        <v>1</v>
      </c>
      <c r="AR107" s="90">
        <f t="shared" si="15"/>
        <v>1</v>
      </c>
      <c r="AS107" s="75"/>
      <c r="AT107" s="75"/>
    </row>
    <row r="108" spans="2:46" ht="15" customHeight="1" x14ac:dyDescent="0.3">
      <c r="B108" s="206">
        <f>Tables!$F$18</f>
        <v>9.26</v>
      </c>
      <c r="C108" s="206"/>
      <c r="D108" s="13"/>
      <c r="E108" s="13"/>
      <c r="G108" s="2" t="str">
        <f>Tables!$D$18</f>
        <v>(10-yr)</v>
      </c>
      <c r="H108" s="2"/>
      <c r="I108" s="179"/>
      <c r="J108" s="179"/>
      <c r="K108" s="179"/>
      <c r="M108" s="179"/>
      <c r="N108" s="179"/>
      <c r="O108" s="179"/>
      <c r="Q108" s="179"/>
      <c r="R108" s="179"/>
      <c r="S108" s="179"/>
      <c r="U108" s="179"/>
      <c r="V108" s="179"/>
      <c r="W108" s="179"/>
      <c r="Y108" s="179"/>
      <c r="Z108" s="179"/>
      <c r="AA108" s="179"/>
      <c r="AC108" s="179"/>
      <c r="AD108" s="179"/>
      <c r="AE108" s="179"/>
      <c r="AG108" s="179"/>
      <c r="AH108" s="179"/>
      <c r="AI108" s="179"/>
      <c r="AL108" s="90">
        <f>IF(OR(ISBLANK(U108),ISBLANK(W$81)),1,IF(U108&gt;W$81,1,0))</f>
        <v>1</v>
      </c>
      <c r="AM108" s="90">
        <f t="shared" si="10"/>
        <v>1</v>
      </c>
      <c r="AN108" s="90">
        <f t="shared" si="11"/>
        <v>1</v>
      </c>
      <c r="AO108" s="90">
        <f t="shared" si="12"/>
        <v>0</v>
      </c>
      <c r="AP108" s="90">
        <f t="shared" si="13"/>
        <v>0</v>
      </c>
      <c r="AQ108" s="94">
        <f t="shared" si="14"/>
        <v>1</v>
      </c>
      <c r="AR108" s="90">
        <f t="shared" si="15"/>
        <v>1</v>
      </c>
      <c r="AS108" s="75"/>
      <c r="AT108" s="75"/>
    </row>
    <row r="109" spans="2:46" ht="15" customHeight="1" x14ac:dyDescent="0.3">
      <c r="B109" s="206">
        <f>Tables!$F$19</f>
        <v>11.7</v>
      </c>
      <c r="C109" s="206"/>
      <c r="D109" s="13"/>
      <c r="E109" s="13"/>
      <c r="G109" s="2" t="str">
        <f>Tables!$D$19</f>
        <v>(25-yr)</v>
      </c>
      <c r="H109" s="2"/>
      <c r="I109" s="179"/>
      <c r="J109" s="179"/>
      <c r="K109" s="179"/>
      <c r="M109" s="179"/>
      <c r="N109" s="179"/>
      <c r="O109" s="179"/>
      <c r="Q109" s="179"/>
      <c r="R109" s="179"/>
      <c r="S109" s="179"/>
      <c r="U109" s="179"/>
      <c r="V109" s="179"/>
      <c r="W109" s="179"/>
      <c r="Y109" s="179"/>
      <c r="Z109" s="179"/>
      <c r="AA109" s="179"/>
      <c r="AC109" s="179"/>
      <c r="AD109" s="179"/>
      <c r="AE109" s="179"/>
      <c r="AG109" s="179"/>
      <c r="AH109" s="179"/>
      <c r="AI109" s="179"/>
      <c r="AL109" s="90">
        <f>IF(OR(ISBLANK(U109),ISBLANK(W$81)),1,IF(U109&gt;W$81,1,0))</f>
        <v>1</v>
      </c>
      <c r="AM109" s="90">
        <f t="shared" si="10"/>
        <v>1</v>
      </c>
      <c r="AN109" s="90">
        <f t="shared" si="11"/>
        <v>1</v>
      </c>
      <c r="AO109" s="90">
        <f t="shared" si="12"/>
        <v>0</v>
      </c>
      <c r="AP109" s="90">
        <f t="shared" si="13"/>
        <v>0</v>
      </c>
      <c r="AQ109" s="94">
        <f t="shared" si="14"/>
        <v>1</v>
      </c>
      <c r="AR109" s="90">
        <f t="shared" si="15"/>
        <v>1</v>
      </c>
      <c r="AS109" s="75"/>
      <c r="AT109" s="75"/>
    </row>
    <row r="110" spans="2:46" ht="15" customHeight="1" x14ac:dyDescent="0.3">
      <c r="B110" s="206">
        <f>Tables!$F$20</f>
        <v>13.9</v>
      </c>
      <c r="C110" s="206"/>
      <c r="D110" s="13"/>
      <c r="E110" s="13"/>
      <c r="G110" s="2" t="str">
        <f>Tables!$D$20</f>
        <v>(50-yr)</v>
      </c>
      <c r="H110" s="2"/>
      <c r="I110" s="179"/>
      <c r="J110" s="179"/>
      <c r="K110" s="179"/>
      <c r="M110" s="179"/>
      <c r="N110" s="179"/>
      <c r="O110" s="179"/>
      <c r="Q110" s="179"/>
      <c r="R110" s="179"/>
      <c r="S110" s="179"/>
      <c r="U110" s="179"/>
      <c r="V110" s="179"/>
      <c r="W110" s="179"/>
      <c r="Y110" s="179"/>
      <c r="Z110" s="179"/>
      <c r="AA110" s="179"/>
      <c r="AC110" s="179"/>
      <c r="AD110" s="179"/>
      <c r="AE110" s="179"/>
      <c r="AG110" s="179"/>
      <c r="AH110" s="179"/>
      <c r="AI110" s="179"/>
      <c r="AL110" s="90">
        <f>IF(OR(ISBLANK(U110),ISBLANK(W$81)),1,IF(U110&gt;W$81,1,0))</f>
        <v>1</v>
      </c>
      <c r="AM110" s="90">
        <f t="shared" si="10"/>
        <v>1</v>
      </c>
      <c r="AN110" s="90">
        <f t="shared" si="11"/>
        <v>1</v>
      </c>
      <c r="AO110" s="90">
        <f t="shared" si="12"/>
        <v>0</v>
      </c>
      <c r="AP110" s="90">
        <f t="shared" si="13"/>
        <v>0</v>
      </c>
      <c r="AQ110" s="94">
        <f t="shared" si="14"/>
        <v>1</v>
      </c>
      <c r="AR110" s="90">
        <f t="shared" si="15"/>
        <v>1</v>
      </c>
      <c r="AS110" s="75"/>
      <c r="AT110" s="75"/>
    </row>
    <row r="111" spans="2:46" ht="15" customHeight="1" x14ac:dyDescent="0.3">
      <c r="B111" s="206">
        <f>Tables!$F$21</f>
        <v>16.3</v>
      </c>
      <c r="C111" s="206"/>
      <c r="D111" s="13"/>
      <c r="E111" s="13"/>
      <c r="G111" s="2" t="str">
        <f>Tables!$D$21</f>
        <v>(100-yr)</v>
      </c>
      <c r="H111" s="2"/>
      <c r="I111" s="179"/>
      <c r="J111" s="179"/>
      <c r="K111" s="179"/>
      <c r="M111" s="179"/>
      <c r="N111" s="179"/>
      <c r="O111" s="179"/>
      <c r="Q111" s="179"/>
      <c r="R111" s="179"/>
      <c r="S111" s="179"/>
      <c r="U111" s="179"/>
      <c r="V111" s="179"/>
      <c r="W111" s="179"/>
      <c r="Y111" s="179"/>
      <c r="Z111" s="179"/>
      <c r="AA111" s="179"/>
      <c r="AC111" s="179"/>
      <c r="AD111" s="179"/>
      <c r="AE111" s="179"/>
      <c r="AG111" s="179"/>
      <c r="AH111" s="179"/>
      <c r="AI111" s="179"/>
      <c r="AL111" s="92">
        <f>IF(OR(ISBLANK($AF$81),ISBLANK(U111)),0,$AF$81-U111)</f>
        <v>0</v>
      </c>
      <c r="AM111" s="90">
        <f t="shared" si="10"/>
        <v>1</v>
      </c>
      <c r="AN111" s="90">
        <f t="shared" si="11"/>
        <v>1</v>
      </c>
      <c r="AO111" s="90">
        <f t="shared" si="12"/>
        <v>0</v>
      </c>
      <c r="AP111" s="90">
        <f t="shared" si="13"/>
        <v>0</v>
      </c>
      <c r="AQ111" s="94">
        <f t="shared" si="14"/>
        <v>1</v>
      </c>
      <c r="AR111" s="90">
        <f t="shared" si="15"/>
        <v>1</v>
      </c>
      <c r="AS111" s="75"/>
      <c r="AT111" s="75"/>
    </row>
    <row r="112" spans="2:46" ht="15" customHeight="1" x14ac:dyDescent="0.3">
      <c r="Q112" s="4" t="s">
        <v>502</v>
      </c>
      <c r="AC112" s="4" t="s">
        <v>503</v>
      </c>
      <c r="AL112" s="44" t="s">
        <v>243</v>
      </c>
      <c r="AM112" s="90">
        <f>Tables!F26</f>
        <v>6</v>
      </c>
      <c r="AN112" s="90">
        <f>IF(AND(ISBLANK(AG106),ISBLANK(AG107),ISBLANK(AG108),ISBLANK(AG109),ISBLANK(AG110),ISBLANK(AG111)),0,1)</f>
        <v>0</v>
      </c>
      <c r="AS112" s="75"/>
      <c r="AT112" s="75"/>
    </row>
    <row r="113" spans="2:46" ht="15" customHeight="1" x14ac:dyDescent="0.3">
      <c r="B113" s="9" t="s">
        <v>19</v>
      </c>
      <c r="C113" s="9"/>
      <c r="D113" s="9"/>
      <c r="E113" s="9"/>
      <c r="AK113" s="6"/>
    </row>
    <row r="114" spans="2:46" ht="15" customHeight="1" x14ac:dyDescent="0.3">
      <c r="B114" s="182"/>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4"/>
      <c r="AK114" s="6"/>
      <c r="AM114" s="202" t="s">
        <v>364</v>
      </c>
      <c r="AN114" s="203"/>
    </row>
    <row r="115" spans="2:46" ht="15" customHeight="1" x14ac:dyDescent="0.3">
      <c r="B115" s="185"/>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7"/>
      <c r="AK115" s="6"/>
      <c r="AM115" s="116" t="s">
        <v>361</v>
      </c>
      <c r="AN115" s="117" t="s">
        <v>147</v>
      </c>
    </row>
    <row r="116" spans="2:46" ht="15" customHeight="1" x14ac:dyDescent="0.3">
      <c r="B116" s="185"/>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7"/>
      <c r="AK116" s="6"/>
      <c r="AM116" s="118">
        <v>2</v>
      </c>
      <c r="AN116" s="119">
        <f t="shared" ref="AN116:AN121" si="16">I106</f>
        <v>0</v>
      </c>
    </row>
    <row r="117" spans="2:46" ht="15" customHeight="1" x14ac:dyDescent="0.3">
      <c r="B117" s="185"/>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7"/>
      <c r="AK117" s="6"/>
      <c r="AM117" s="118">
        <v>5</v>
      </c>
      <c r="AN117" s="119">
        <f t="shared" si="16"/>
        <v>0</v>
      </c>
    </row>
    <row r="118" spans="2:46" ht="15" customHeight="1" x14ac:dyDescent="0.3">
      <c r="B118" s="185"/>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7"/>
      <c r="AK118" s="6"/>
      <c r="AM118" s="118">
        <v>10</v>
      </c>
      <c r="AN118" s="119">
        <f t="shared" si="16"/>
        <v>0</v>
      </c>
    </row>
    <row r="119" spans="2:46" ht="15" customHeight="1" x14ac:dyDescent="0.3">
      <c r="B119" s="185"/>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7"/>
      <c r="AK119" s="6"/>
      <c r="AM119" s="118">
        <v>25</v>
      </c>
      <c r="AN119" s="119">
        <f t="shared" si="16"/>
        <v>0</v>
      </c>
    </row>
    <row r="120" spans="2:46" ht="15" customHeight="1" x14ac:dyDescent="0.3">
      <c r="B120" s="188"/>
      <c r="C120" s="189"/>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90"/>
      <c r="AK120" s="6"/>
      <c r="AM120" s="118">
        <v>50</v>
      </c>
      <c r="AN120" s="119">
        <f t="shared" si="16"/>
        <v>0</v>
      </c>
      <c r="AR120" s="42" t="s">
        <v>413</v>
      </c>
    </row>
    <row r="121" spans="2:46" ht="15" customHeight="1" x14ac:dyDescent="0.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M121" s="120">
        <v>100</v>
      </c>
      <c r="AN121" s="121">
        <f t="shared" si="16"/>
        <v>0</v>
      </c>
      <c r="AR121" s="95" t="str">
        <f>IF(AO126="No","2, 5, 10, 25, 50, and 100",IF(R140&gt;0,R140,IF(AT126=0,AP126,IF(AT126=1,AP124,IF(AT126=2,AP126,IF(AT126=3,Tables!F35,""))))))</f>
        <v>2, 5, 10, 25, 50, and 100</v>
      </c>
      <c r="AS121" s="92" t="str">
        <f>IF(AO126="No","2, 5, 10, 25, 50, and 100",IF(R140&gt;0,AL140,IF(AT126=0,AS126,IF(AT126=1,AS124,IF(AT126=2,AS126,IF(AT126=3,Tables!F36,""))))))</f>
        <v>2, 5, 10, 25, 50, and 100</v>
      </c>
    </row>
    <row r="122" spans="2:46" ht="15" customHeight="1" x14ac:dyDescent="0.3">
      <c r="B122" s="1" t="s">
        <v>330</v>
      </c>
      <c r="AJ122" s="143">
        <f>IF(ISBLANK(C126),0,IF(AO126="Yes","Detain the "&amp;AS121&amp;"-yr storm events to a "&amp;AR121&amp;"-yr discharge.",""))</f>
        <v>0</v>
      </c>
      <c r="AN122" s="75" t="s">
        <v>147</v>
      </c>
      <c r="AO122" s="75" t="s">
        <v>362</v>
      </c>
      <c r="AP122" s="75" t="s">
        <v>361</v>
      </c>
      <c r="AQ122" s="42" t="s">
        <v>363</v>
      </c>
    </row>
    <row r="123" spans="2:46" ht="4.95" customHeight="1" x14ac:dyDescent="0.3"/>
    <row r="124" spans="2:46" ht="15" customHeight="1" x14ac:dyDescent="0.3">
      <c r="C124" s="54"/>
      <c r="D124" s="4" t="s">
        <v>120</v>
      </c>
      <c r="F124" s="54"/>
      <c r="G124" s="4" t="s">
        <v>121</v>
      </c>
      <c r="I124" s="4" t="s">
        <v>338</v>
      </c>
      <c r="Z124" s="131"/>
      <c r="AA124" s="131"/>
      <c r="AB124" s="131"/>
      <c r="AC124" s="131"/>
      <c r="AD124" s="131"/>
      <c r="AE124" s="131"/>
      <c r="AF124" s="131"/>
      <c r="AG124" s="131"/>
      <c r="AH124" s="131"/>
      <c r="AI124" s="131"/>
      <c r="AJ124" s="131"/>
      <c r="AL124" s="90">
        <f>IF(AND(ISBLANK(C124),ISBLANK(F124)),1,2)</f>
        <v>1</v>
      </c>
      <c r="AM124" s="90">
        <f>IF(ISBLANK(C124),1,2)</f>
        <v>1</v>
      </c>
      <c r="AN124" s="92">
        <f>IF(AO124="Yes",IF($AM$124=2,$AQ$124,0),0)</f>
        <v>0</v>
      </c>
      <c r="AO124" s="90" t="str">
        <f>Tables!F29</f>
        <v>No</v>
      </c>
      <c r="AP124" s="95">
        <f>Tables!F30</f>
        <v>2</v>
      </c>
      <c r="AQ124" s="92">
        <f>VLOOKUP(AP124,$AM$116:$AN$121,2)</f>
        <v>0</v>
      </c>
      <c r="AS124" s="95" t="str">
        <f>Tables!F31</f>
        <v>2, 5, 10, 25, 50, and 100</v>
      </c>
      <c r="AT124" s="102"/>
    </row>
    <row r="125" spans="2:46" ht="4.95" customHeight="1" x14ac:dyDescent="0.3">
      <c r="Y125" s="131"/>
      <c r="Z125" s="131"/>
      <c r="AA125" s="131"/>
      <c r="AB125" s="131"/>
      <c r="AC125" s="131"/>
      <c r="AD125" s="131"/>
      <c r="AE125" s="131"/>
      <c r="AF125" s="131"/>
      <c r="AG125" s="131"/>
      <c r="AH125" s="131"/>
      <c r="AI125" s="131"/>
      <c r="AJ125" s="131"/>
    </row>
    <row r="126" spans="2:46" ht="15" customHeight="1" x14ac:dyDescent="0.3">
      <c r="C126" s="54"/>
      <c r="D126" s="4" t="s">
        <v>120</v>
      </c>
      <c r="F126" s="54"/>
      <c r="G126" s="4" t="s">
        <v>121</v>
      </c>
      <c r="I126" s="4" t="s">
        <v>339</v>
      </c>
      <c r="Y126" s="131"/>
      <c r="Z126" s="131"/>
      <c r="AA126" s="131"/>
      <c r="AB126" s="131"/>
      <c r="AC126" s="131"/>
      <c r="AD126" s="131"/>
      <c r="AE126" s="131"/>
      <c r="AF126" s="131"/>
      <c r="AG126" s="131"/>
      <c r="AH126" s="131"/>
      <c r="AI126" s="131"/>
      <c r="AJ126" s="131"/>
      <c r="AL126" s="90">
        <f>IF(AND(ISBLANK(C126),ISBLANK(F126)),1,2)</f>
        <v>1</v>
      </c>
      <c r="AM126" s="90">
        <f>IF(ISBLANK(C126),1,2)</f>
        <v>1</v>
      </c>
      <c r="AN126" s="92">
        <f>IF(AO126="Yes",IF($AM$126=2,$AQ$126,0),0)</f>
        <v>0</v>
      </c>
      <c r="AO126" s="90" t="str">
        <f>Tables!F32</f>
        <v>No</v>
      </c>
      <c r="AP126" s="95">
        <f>IF(ISBLANK(R140),Tables!F33,R140)</f>
        <v>2</v>
      </c>
      <c r="AQ126" s="92">
        <f>VLOOKUP(AP126,$AM$116:$AN$121,2)</f>
        <v>0</v>
      </c>
      <c r="AS126" s="92" t="str">
        <f>Tables!F34</f>
        <v>2, 5, 10, 25, 50, and 100</v>
      </c>
      <c r="AT126" s="142">
        <f>IF(AND(ISBLANK(C124),ISBLANK(C126)),0,IF(AND(LEN(C124)&gt;0,ISBLANK(C126)),1,IF(AND(ISBLANK(C124),LEN(C126)&gt;0),2,3)))</f>
        <v>0</v>
      </c>
    </row>
    <row r="127" spans="2:46" ht="4.95" customHeight="1" x14ac:dyDescent="0.3"/>
    <row r="128" spans="2:46" ht="15" customHeight="1" x14ac:dyDescent="0.3">
      <c r="I128" s="54"/>
      <c r="J128" s="4" t="s">
        <v>120</v>
      </c>
      <c r="L128" s="54"/>
      <c r="M128" s="4" t="s">
        <v>121</v>
      </c>
      <c r="O128" s="4" t="s">
        <v>416</v>
      </c>
      <c r="AL128" s="90">
        <f>IF(AND(ISBLANK(I128),ISBLANK(L128)),1,2)</f>
        <v>1</v>
      </c>
      <c r="AM128" s="90">
        <f>IF(ISBLANK(L128),1,2)</f>
        <v>1</v>
      </c>
    </row>
    <row r="129" spans="3:43" ht="4.95" customHeight="1" x14ac:dyDescent="0.3"/>
    <row r="130" spans="3:43" ht="15" customHeight="1" x14ac:dyDescent="0.3">
      <c r="I130" s="54"/>
      <c r="J130" s="4" t="s">
        <v>120</v>
      </c>
      <c r="L130" s="54"/>
      <c r="M130" s="4" t="s">
        <v>121</v>
      </c>
      <c r="O130" s="4" t="s">
        <v>417</v>
      </c>
      <c r="AL130" s="90">
        <f>IF(AND(ISBLANK(I130),ISBLANK(L130)),1,2)</f>
        <v>1</v>
      </c>
      <c r="AM130" s="90">
        <f>IF(ISBLANK(I130),1,2)</f>
        <v>1</v>
      </c>
    </row>
    <row r="131" spans="3:43" ht="4.95" customHeight="1" x14ac:dyDescent="0.3"/>
    <row r="132" spans="3:43" ht="15" customHeight="1" x14ac:dyDescent="0.3">
      <c r="O132" s="54"/>
      <c r="P132" s="4" t="s">
        <v>120</v>
      </c>
      <c r="R132" s="54"/>
      <c r="S132" s="4" t="s">
        <v>121</v>
      </c>
      <c r="U132" s="4" t="s">
        <v>418</v>
      </c>
      <c r="AL132" s="90">
        <f>IF(AND(ISBLANK(O132),ISBLANK(R132)),1,2)</f>
        <v>1</v>
      </c>
      <c r="AM132" s="90">
        <f>IF(ISBLANK(R132),1,2)</f>
        <v>1</v>
      </c>
    </row>
    <row r="133" spans="3:43" ht="4.95" customHeight="1" x14ac:dyDescent="0.3"/>
    <row r="134" spans="3:43" ht="15" customHeight="1" x14ac:dyDescent="0.3">
      <c r="O134" s="54"/>
      <c r="P134" s="4" t="s">
        <v>120</v>
      </c>
      <c r="R134" s="54"/>
      <c r="S134" s="4" t="s">
        <v>121</v>
      </c>
      <c r="U134" s="4" t="s">
        <v>492</v>
      </c>
      <c r="AL134" s="90">
        <f>IF(AND(ISBLANK(O134),ISBLANK(R134)),1,2)</f>
        <v>1</v>
      </c>
      <c r="AM134" s="90">
        <f>IF(ISBLANK(R134),1,2)</f>
        <v>1</v>
      </c>
    </row>
    <row r="135" spans="3:43" ht="4.95" customHeight="1" x14ac:dyDescent="0.3"/>
    <row r="136" spans="3:43" ht="15" customHeight="1" x14ac:dyDescent="0.3">
      <c r="I136" s="54"/>
      <c r="J136" s="4" t="s">
        <v>120</v>
      </c>
      <c r="L136" s="54"/>
      <c r="M136" s="4" t="s">
        <v>121</v>
      </c>
      <c r="O136" s="4" t="str">
        <f>"The "&amp;Tables!$F$23&amp;" will allow a different post release rate design storm"</f>
        <v>The County will allow a different post release rate design storm</v>
      </c>
      <c r="AL136" s="90">
        <f>IF(AND(ISBLANK(I136),ISBLANK(L136)),1,2)</f>
        <v>1</v>
      </c>
      <c r="AM136" s="90">
        <f>IF(ISBLANK(I136),1,2)</f>
        <v>1</v>
      </c>
    </row>
    <row r="137" spans="3:43" ht="4.95" customHeight="1" x14ac:dyDescent="0.3"/>
    <row r="138" spans="3:43" ht="15" customHeight="1" x14ac:dyDescent="0.3">
      <c r="O138" s="54"/>
      <c r="P138" s="4" t="s">
        <v>120</v>
      </c>
      <c r="R138" s="54"/>
      <c r="S138" s="4" t="s">
        <v>121</v>
      </c>
      <c r="U138" s="4" t="str">
        <f>"Written approval from the "&amp;Tables!$F$23&amp;" is attached?"</f>
        <v>Written approval from the County is attached?</v>
      </c>
      <c r="AL138" s="90">
        <f>IF(AND(ISBLANK(O138),ISBLANK(R138)),1,2)</f>
        <v>1</v>
      </c>
      <c r="AM138" s="90">
        <f>IF(ISBLANK(R138),1,2)</f>
        <v>1</v>
      </c>
    </row>
    <row r="139" spans="3:43" ht="4.95" customHeight="1" x14ac:dyDescent="0.3"/>
    <row r="140" spans="3:43" ht="15" customHeight="1" x14ac:dyDescent="0.3">
      <c r="R140" s="168"/>
      <c r="S140" s="167" t="s">
        <v>494</v>
      </c>
      <c r="U140" s="4" t="str">
        <f>"Post release rate design storm allowed by the "&amp;Tables!$F$23&amp;"."</f>
        <v>Post release rate design storm allowed by the County.</v>
      </c>
      <c r="AL140" s="220">
        <f>IF(ISBLANK(R140),0,VLOOKUP(R140,Storms[],2))</f>
        <v>0</v>
      </c>
      <c r="AM140" s="221"/>
    </row>
    <row r="141" spans="3:43" ht="4.95" customHeight="1" x14ac:dyDescent="0.3"/>
    <row r="142" spans="3:43" ht="15" customHeight="1" x14ac:dyDescent="0.3">
      <c r="C142" s="54"/>
      <c r="D142" s="4" t="s">
        <v>120</v>
      </c>
      <c r="F142" s="54"/>
      <c r="G142" s="4" t="s">
        <v>121</v>
      </c>
      <c r="I142" s="4" t="str">
        <f>"Does the project have "&amp;Tables!F37&amp;" for the adjacent property?"</f>
        <v>Does the project have Drainage Rights for the adjacent property?</v>
      </c>
      <c r="AL142" s="90">
        <f>IF(AND(ISBLANK(C142),ISBLANK(F142)),1,2)</f>
        <v>1</v>
      </c>
      <c r="AM142" s="90">
        <f>IF(ISBLANK(F142),1,2)</f>
        <v>1</v>
      </c>
      <c r="AN142" s="90">
        <f>IF(ISBLANK(C142),1,2)</f>
        <v>1</v>
      </c>
      <c r="AO142" s="90">
        <f>IF(ISBLANK(C124),0,2)</f>
        <v>0</v>
      </c>
      <c r="AP142" s="90">
        <f>IF(ISBLANK(C126),0,2)</f>
        <v>0</v>
      </c>
      <c r="AQ142" s="90">
        <f>IF(ISBLANK(F142),0,SUM(AO142:AP142))</f>
        <v>0</v>
      </c>
    </row>
    <row r="143" spans="3:43" ht="4.95" customHeight="1" x14ac:dyDescent="0.3"/>
    <row r="144" spans="3:43" ht="15" customHeight="1" x14ac:dyDescent="0.3">
      <c r="C144" s="54"/>
      <c r="D144" s="4" t="s">
        <v>120</v>
      </c>
      <c r="F144" s="54"/>
      <c r="G144" s="4" t="s">
        <v>121</v>
      </c>
      <c r="I144" s="4" t="s">
        <v>396</v>
      </c>
      <c r="AL144" s="90">
        <f>IF(AND(ISBLANK(C144),ISBLANK(F144)),1,2)</f>
        <v>1</v>
      </c>
      <c r="AM144" s="90">
        <f>IF(ISBLANK(F144),1,2)</f>
        <v>1</v>
      </c>
    </row>
    <row r="145" spans="2:42" ht="4.95" customHeight="1" x14ac:dyDescent="0.3"/>
    <row r="146" spans="2:42" ht="15" customHeight="1" x14ac:dyDescent="0.3">
      <c r="C146" s="54"/>
      <c r="D146" s="4" t="s">
        <v>120</v>
      </c>
      <c r="F146" s="54"/>
      <c r="G146" s="4" t="s">
        <v>121</v>
      </c>
      <c r="I146" s="4" t="s">
        <v>331</v>
      </c>
      <c r="J146" s="6"/>
      <c r="K146" s="6"/>
      <c r="L146" s="6"/>
      <c r="AL146" s="90">
        <f>IF(AND(ISBLANK(C146),ISBLANK(F146)),1,2)</f>
        <v>1</v>
      </c>
      <c r="AM146" s="90">
        <f>IF(ISBLANK(C146),1,2)</f>
        <v>1</v>
      </c>
      <c r="AO146" s="75"/>
      <c r="AP146" s="75"/>
    </row>
    <row r="147" spans="2:42" ht="4.95" customHeight="1" x14ac:dyDescent="0.3">
      <c r="C147" s="6"/>
      <c r="D147" s="6"/>
      <c r="E147" s="6"/>
      <c r="F147" s="6"/>
      <c r="G147" s="6"/>
      <c r="H147" s="6"/>
      <c r="I147" s="6"/>
      <c r="J147" s="6"/>
      <c r="K147" s="6"/>
      <c r="L147" s="6"/>
    </row>
    <row r="148" spans="2:42" ht="15" customHeight="1" x14ac:dyDescent="0.3">
      <c r="I148" s="54"/>
      <c r="J148" s="4" t="s">
        <v>120</v>
      </c>
      <c r="L148" s="54"/>
      <c r="M148" s="4" t="s">
        <v>121</v>
      </c>
      <c r="N148" s="6"/>
      <c r="O148" s="4" t="s">
        <v>329</v>
      </c>
      <c r="AL148" s="90">
        <f>IF(ISBLANK(I148),1,2)</f>
        <v>1</v>
      </c>
      <c r="AM148" s="90">
        <f>IF(ISBLANK(L148),1,2)</f>
        <v>1</v>
      </c>
      <c r="AN148" s="90">
        <f>SUM(AL148:AM148)</f>
        <v>2</v>
      </c>
    </row>
    <row r="149" spans="2:42" ht="4.95" customHeight="1" x14ac:dyDescent="0.3">
      <c r="AE149" s="6"/>
      <c r="AF149" s="6"/>
      <c r="AG149" s="6"/>
      <c r="AH149" s="6"/>
      <c r="AI149" s="6"/>
    </row>
    <row r="150" spans="2:42" ht="15" customHeight="1" x14ac:dyDescent="0.3">
      <c r="C150" s="54"/>
      <c r="D150" s="4" t="s">
        <v>120</v>
      </c>
      <c r="F150" s="54"/>
      <c r="G150" s="4" t="s">
        <v>121</v>
      </c>
      <c r="I150" s="4" t="s">
        <v>532</v>
      </c>
      <c r="AL150" s="90">
        <f>IF(AND(ISBLANK(C150),ISBLANK(F150)),1,2)</f>
        <v>1</v>
      </c>
      <c r="AM150" s="90">
        <f>IF(ISBLANK(C150),1,2)</f>
        <v>1</v>
      </c>
    </row>
    <row r="151" spans="2:42" ht="15" customHeight="1" x14ac:dyDescent="0.3">
      <c r="I151" s="4" t="str">
        <f>IF(AND(AM150=2,Tables!$F$14="Prattville"),"The City shall waive the Permit Application Review Fee","")</f>
        <v/>
      </c>
    </row>
    <row r="152" spans="2:42" ht="15" customHeight="1" x14ac:dyDescent="0.3"/>
    <row r="153" spans="2:42" ht="15" customHeight="1" x14ac:dyDescent="0.3">
      <c r="B153" s="177">
        <f>Tables!$F$13</f>
        <v>45931</v>
      </c>
      <c r="C153" s="177"/>
      <c r="D153" s="177"/>
      <c r="E153" s="177"/>
      <c r="F153" s="177"/>
      <c r="G153" s="71"/>
      <c r="H153" s="71"/>
      <c r="I153" s="71"/>
      <c r="R153" s="6" t="s">
        <v>255</v>
      </c>
    </row>
    <row r="154" spans="2:42" ht="15" customHeight="1" x14ac:dyDescent="0.3">
      <c r="C154" s="2" t="s">
        <v>131</v>
      </c>
      <c r="D154" s="180">
        <f>IF(ISBLANK($E$7),0,$E$7)</f>
        <v>0</v>
      </c>
      <c r="E154" s="180"/>
      <c r="F154" s="180"/>
      <c r="G154" s="180"/>
      <c r="H154" s="180"/>
      <c r="I154" s="180"/>
      <c r="J154" s="180"/>
      <c r="K154" s="180"/>
      <c r="L154" s="180"/>
      <c r="M154" s="180"/>
      <c r="N154" s="180"/>
      <c r="O154" s="180"/>
      <c r="P154" s="180"/>
      <c r="Q154" s="180"/>
      <c r="R154" s="180"/>
      <c r="S154" s="180"/>
      <c r="T154" s="180"/>
      <c r="U154" s="180"/>
      <c r="V154" s="180"/>
      <c r="W154" s="180"/>
      <c r="X154" s="180"/>
      <c r="Y154" s="180"/>
      <c r="AD154" s="2" t="s">
        <v>158</v>
      </c>
      <c r="AE154" s="181">
        <f>IF(ISBLANK($AE$7),0,$AE$7)</f>
        <v>0</v>
      </c>
      <c r="AF154" s="181"/>
      <c r="AG154" s="181"/>
      <c r="AH154" s="181"/>
      <c r="AI154" s="181"/>
      <c r="AJ154" s="181"/>
    </row>
    <row r="155" spans="2:42" ht="15" customHeight="1" x14ac:dyDescent="0.3">
      <c r="F155" s="3"/>
      <c r="G155" s="3"/>
      <c r="H155" s="3"/>
      <c r="I155" s="3"/>
      <c r="J155" s="3"/>
      <c r="K155" s="2"/>
      <c r="L155" s="2"/>
      <c r="M155" s="2"/>
      <c r="N155" s="2"/>
      <c r="O155" s="3"/>
      <c r="P155" s="8"/>
      <c r="Q155" s="8"/>
      <c r="R155" s="8"/>
      <c r="S155" s="8"/>
      <c r="T155" s="8"/>
      <c r="U155" s="8"/>
      <c r="V155" s="8"/>
      <c r="W155" s="8"/>
      <c r="X155" s="8"/>
      <c r="Y155" s="8"/>
      <c r="Z155" s="8"/>
      <c r="AA155" s="8"/>
      <c r="AB155" s="8"/>
      <c r="AC155" s="8"/>
      <c r="AD155" s="2" t="s">
        <v>159</v>
      </c>
      <c r="AE155" s="178">
        <f>IF(ISBLANK($AE$8),0,$AE$8)</f>
        <v>0</v>
      </c>
      <c r="AF155" s="178"/>
      <c r="AG155" s="178"/>
      <c r="AH155" s="178"/>
      <c r="AI155" s="178"/>
      <c r="AJ155" s="178"/>
    </row>
    <row r="156" spans="2:42" ht="15" customHeight="1" x14ac:dyDescent="0.3">
      <c r="B156" s="1" t="s">
        <v>17</v>
      </c>
      <c r="C156" s="1"/>
      <c r="D156" s="1"/>
      <c r="E156" s="1"/>
      <c r="F156" s="1"/>
      <c r="G156" s="1"/>
      <c r="H156" s="1"/>
      <c r="I156" s="1"/>
      <c r="J156" s="1"/>
    </row>
    <row r="157" spans="2:42" ht="15" customHeight="1" x14ac:dyDescent="0.3">
      <c r="B157" s="67" t="s">
        <v>184</v>
      </c>
      <c r="C157" s="67"/>
      <c r="D157" s="67"/>
      <c r="E157" s="67"/>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row>
    <row r="158" spans="2:42" ht="15" customHeight="1" x14ac:dyDescent="0.3">
      <c r="C158" s="52" t="s">
        <v>108</v>
      </c>
      <c r="D158" s="67" t="str">
        <f>"Is designed in accordance with the latest version of the "&amp;Tables!$F$23&amp;"'s requirements;"</f>
        <v>Is designed in accordance with the latest version of the County's requirements;</v>
      </c>
      <c r="E158" s="68"/>
      <c r="G158" s="67"/>
      <c r="H158" s="67"/>
      <c r="I158" s="67"/>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row>
    <row r="159" spans="2:42" ht="15" customHeight="1" x14ac:dyDescent="0.3">
      <c r="C159" s="52" t="s">
        <v>108</v>
      </c>
      <c r="D159" s="67" t="s">
        <v>185</v>
      </c>
      <c r="E159" s="68"/>
      <c r="G159" s="67"/>
      <c r="H159" s="67"/>
      <c r="I159" s="67"/>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row>
    <row r="160" spans="2:42" ht="15" customHeight="1" x14ac:dyDescent="0.3">
      <c r="C160" s="52" t="s">
        <v>108</v>
      </c>
      <c r="D160" s="67" t="s">
        <v>401</v>
      </c>
      <c r="E160" s="68"/>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row>
    <row r="161" spans="2:38" ht="15" customHeight="1" x14ac:dyDescent="0.3">
      <c r="C161" s="52"/>
      <c r="D161" s="67" t="s">
        <v>400</v>
      </c>
      <c r="E161" s="68"/>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row>
    <row r="162" spans="2:38" ht="15" customHeight="1" x14ac:dyDescent="0.3">
      <c r="C162" s="52" t="s">
        <v>108</v>
      </c>
      <c r="D162" s="67" t="s">
        <v>186</v>
      </c>
      <c r="E162" s="68"/>
      <c r="G162" s="67"/>
      <c r="H162" s="67"/>
      <c r="I162" s="67"/>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row>
    <row r="163" spans="2:38" ht="15" customHeight="1" x14ac:dyDescent="0.3">
      <c r="C163" s="52" t="s">
        <v>108</v>
      </c>
      <c r="D163" s="67" t="s">
        <v>187</v>
      </c>
      <c r="E163" s="68"/>
      <c r="G163" s="67"/>
      <c r="H163" s="67"/>
      <c r="I163" s="67"/>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row>
    <row r="164" spans="2:38" ht="15" customHeight="1" x14ac:dyDescent="0.3">
      <c r="C164" s="52"/>
      <c r="D164" s="67"/>
      <c r="E164" s="68"/>
      <c r="G164" s="67"/>
      <c r="H164" s="67"/>
      <c r="I164" s="67"/>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row>
    <row r="165" spans="2:38" ht="15" customHeight="1" x14ac:dyDescent="0.3">
      <c r="E165" s="2" t="s">
        <v>163</v>
      </c>
      <c r="F165" s="193"/>
      <c r="G165" s="193"/>
      <c r="H165" s="193"/>
      <c r="I165" s="193"/>
      <c r="J165" s="193"/>
      <c r="K165" s="193"/>
      <c r="L165" s="193"/>
      <c r="M165" s="193"/>
      <c r="N165" s="193"/>
      <c r="O165" s="193"/>
      <c r="P165" s="193"/>
      <c r="Q165" s="193"/>
      <c r="R165" s="193"/>
      <c r="S165" s="193"/>
      <c r="T165" s="193"/>
      <c r="U165" s="193"/>
      <c r="V165" s="193"/>
      <c r="W165" s="193"/>
      <c r="X165" s="193"/>
      <c r="Y165" s="193"/>
      <c r="Z165" s="193"/>
      <c r="AC165" s="2" t="s">
        <v>232</v>
      </c>
      <c r="AD165" s="2"/>
      <c r="AE165" s="2"/>
      <c r="AF165" s="2"/>
    </row>
    <row r="166" spans="2:38" ht="15" customHeight="1" x14ac:dyDescent="0.3">
      <c r="E166" s="2" t="s">
        <v>131</v>
      </c>
      <c r="F166" s="194"/>
      <c r="G166" s="194"/>
      <c r="H166" s="194"/>
      <c r="I166" s="194"/>
      <c r="J166" s="194"/>
      <c r="K166" s="194"/>
      <c r="L166" s="194"/>
      <c r="M166" s="194"/>
      <c r="N166" s="194"/>
      <c r="O166" s="194"/>
      <c r="P166" s="194"/>
      <c r="Q166" s="194"/>
      <c r="R166" s="194"/>
      <c r="S166" s="194"/>
      <c r="T166" s="194"/>
      <c r="U166" s="194"/>
      <c r="V166" s="194"/>
      <c r="W166" s="194"/>
      <c r="X166" s="194"/>
      <c r="Y166" s="194"/>
      <c r="Z166" s="194"/>
    </row>
    <row r="167" spans="2:38" ht="15" customHeight="1" x14ac:dyDescent="0.3">
      <c r="E167" s="2" t="s">
        <v>132</v>
      </c>
      <c r="F167" s="194"/>
      <c r="G167" s="194"/>
      <c r="H167" s="194"/>
      <c r="I167" s="194"/>
      <c r="J167" s="194"/>
      <c r="K167" s="194"/>
      <c r="L167" s="194"/>
      <c r="M167" s="194"/>
      <c r="N167" s="194"/>
      <c r="O167" s="194"/>
      <c r="P167" s="194"/>
      <c r="Q167" s="194"/>
      <c r="R167" s="194"/>
      <c r="S167" s="194"/>
      <c r="T167" s="194"/>
      <c r="U167" s="194"/>
      <c r="V167" s="194"/>
      <c r="W167" s="194"/>
      <c r="X167" s="194"/>
      <c r="Y167" s="194"/>
      <c r="Z167" s="194"/>
    </row>
    <row r="168" spans="2:38" ht="15" customHeight="1" x14ac:dyDescent="0.3">
      <c r="E168" s="2" t="s">
        <v>206</v>
      </c>
      <c r="F168" s="194"/>
      <c r="G168" s="194"/>
      <c r="H168" s="194"/>
      <c r="I168" s="194"/>
      <c r="J168" s="194"/>
      <c r="K168" s="194"/>
      <c r="L168" s="194"/>
      <c r="M168" s="53"/>
      <c r="N168" s="53"/>
      <c r="O168" s="98" t="s">
        <v>135</v>
      </c>
      <c r="P168" s="194"/>
      <c r="Q168" s="194"/>
      <c r="R168" s="194"/>
      <c r="S168" s="194"/>
      <c r="T168" s="53"/>
      <c r="U168" s="53"/>
      <c r="V168" s="53"/>
      <c r="W168" s="98" t="s">
        <v>136</v>
      </c>
      <c r="X168" s="192"/>
      <c r="Y168" s="192"/>
      <c r="Z168" s="192"/>
    </row>
    <row r="169" spans="2:38" ht="15" customHeight="1" x14ac:dyDescent="0.3">
      <c r="E169" s="2" t="s">
        <v>133</v>
      </c>
      <c r="F169" s="195"/>
      <c r="G169" s="195"/>
      <c r="H169" s="195"/>
      <c r="I169" s="195"/>
      <c r="J169" s="195"/>
      <c r="K169" s="195"/>
      <c r="L169" s="195"/>
      <c r="M169" s="195"/>
      <c r="N169" s="195"/>
      <c r="O169" s="195"/>
      <c r="P169" s="195"/>
      <c r="Q169" s="195"/>
      <c r="R169" s="195"/>
      <c r="S169" s="195"/>
      <c r="T169" s="195"/>
      <c r="U169" s="195"/>
      <c r="V169" s="195"/>
      <c r="W169" s="195"/>
      <c r="X169" s="195"/>
      <c r="Y169" s="195"/>
      <c r="Z169" s="195"/>
    </row>
    <row r="170" spans="2:38" ht="15" customHeight="1" x14ac:dyDescent="0.3">
      <c r="E170" s="2" t="s">
        <v>137</v>
      </c>
      <c r="F170" s="191"/>
      <c r="G170" s="191"/>
      <c r="H170" s="191"/>
      <c r="I170" s="191"/>
      <c r="J170" s="191"/>
      <c r="V170" s="50"/>
      <c r="W170" s="50"/>
      <c r="X170" s="50"/>
    </row>
    <row r="171" spans="2:38" ht="15" customHeight="1" x14ac:dyDescent="0.3">
      <c r="E171" s="2"/>
      <c r="F171" s="53"/>
      <c r="G171" s="53"/>
      <c r="H171" s="53"/>
      <c r="I171" s="53"/>
      <c r="J171" s="53"/>
      <c r="V171" s="50"/>
      <c r="W171" s="50"/>
      <c r="X171" s="50"/>
    </row>
    <row r="172" spans="2:38" ht="15" customHeight="1" x14ac:dyDescent="0.3">
      <c r="E172" s="2" t="s">
        <v>164</v>
      </c>
      <c r="F172" s="66"/>
      <c r="G172" s="66"/>
      <c r="H172" s="66"/>
      <c r="I172" s="66"/>
      <c r="J172" s="66"/>
      <c r="K172" s="66"/>
      <c r="L172" s="66"/>
      <c r="M172" s="66"/>
      <c r="N172" s="66"/>
      <c r="O172" s="66"/>
      <c r="P172" s="66"/>
      <c r="Q172" s="66"/>
      <c r="R172" s="66"/>
      <c r="S172" s="66"/>
      <c r="T172" s="66"/>
      <c r="U172" s="66"/>
      <c r="V172" s="50"/>
      <c r="W172" s="50"/>
      <c r="X172" s="50"/>
      <c r="AC172" s="2" t="s">
        <v>158</v>
      </c>
      <c r="AD172" s="198"/>
      <c r="AE172" s="198"/>
      <c r="AF172" s="198"/>
      <c r="AG172" s="198"/>
      <c r="AH172" s="198"/>
    </row>
    <row r="173" spans="2:38" ht="15" customHeight="1" x14ac:dyDescent="0.3"/>
    <row r="174" spans="2:38" ht="15" customHeight="1" x14ac:dyDescent="0.3">
      <c r="B174" s="23" t="s">
        <v>79</v>
      </c>
      <c r="C174" s="72"/>
      <c r="D174" s="72"/>
      <c r="E174" s="72"/>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5"/>
      <c r="AL174" s="42" t="s">
        <v>235</v>
      </c>
    </row>
    <row r="175" spans="2:38" ht="15" customHeight="1" x14ac:dyDescent="0.3">
      <c r="B175" s="26"/>
      <c r="C175" s="27"/>
      <c r="D175" s="27"/>
      <c r="E175" s="27"/>
      <c r="F175" s="27"/>
      <c r="G175" s="27"/>
      <c r="H175" s="27"/>
      <c r="I175" s="27"/>
      <c r="J175" s="27"/>
      <c r="K175" s="34" t="s">
        <v>80</v>
      </c>
      <c r="L175" s="34"/>
      <c r="M175" s="35" t="s">
        <v>81</v>
      </c>
      <c r="N175" s="35"/>
      <c r="O175" s="35"/>
      <c r="P175" s="35"/>
      <c r="Q175" s="35"/>
      <c r="R175" s="35"/>
      <c r="S175" s="35"/>
      <c r="T175" s="27"/>
      <c r="U175" s="27"/>
      <c r="V175" s="27"/>
      <c r="W175" s="27"/>
      <c r="X175" s="27"/>
      <c r="Y175" s="27"/>
      <c r="Z175" s="27"/>
      <c r="AA175" s="27"/>
      <c r="AB175" s="27"/>
      <c r="AC175" s="27"/>
      <c r="AD175" s="27"/>
      <c r="AE175" s="27"/>
      <c r="AF175" s="27"/>
      <c r="AG175" s="27"/>
      <c r="AH175" s="27"/>
      <c r="AI175" s="27"/>
      <c r="AJ175" s="28"/>
      <c r="AL175" s="90">
        <f>SUM(AL177:AL193)</f>
        <v>14</v>
      </c>
    </row>
    <row r="176" spans="2:38" ht="15" customHeight="1" x14ac:dyDescent="0.3">
      <c r="B176" s="26"/>
      <c r="C176" s="27"/>
      <c r="D176" s="27"/>
      <c r="E176" s="27"/>
      <c r="F176" s="27"/>
      <c r="G176" s="27"/>
      <c r="H176" s="27"/>
      <c r="I176" s="27"/>
      <c r="J176" s="27"/>
      <c r="K176" s="29" t="s">
        <v>394</v>
      </c>
      <c r="L176" s="34"/>
      <c r="M176" s="27" t="str">
        <f>IF(ISBLANK(AD6),Tables!J19,"")</f>
        <v>Parcel No. has not been provided</v>
      </c>
      <c r="N176" s="35"/>
      <c r="O176" s="35"/>
      <c r="P176" s="35"/>
      <c r="Q176" s="35"/>
      <c r="R176" s="35"/>
      <c r="S176" s="35"/>
      <c r="T176" s="27"/>
      <c r="U176" s="27"/>
      <c r="V176" s="27"/>
      <c r="W176" s="27"/>
      <c r="X176" s="27"/>
      <c r="Y176" s="27"/>
      <c r="Z176" s="27"/>
      <c r="AA176" s="27"/>
      <c r="AB176" s="27"/>
      <c r="AC176" s="27"/>
      <c r="AD176" s="27"/>
      <c r="AE176" s="27"/>
      <c r="AF176" s="27"/>
      <c r="AG176" s="27"/>
      <c r="AH176" s="27"/>
      <c r="AI176" s="27"/>
      <c r="AJ176" s="28"/>
      <c r="AL176" s="90">
        <f>IF(M176="",0,1)</f>
        <v>1</v>
      </c>
    </row>
    <row r="177" spans="2:38" ht="15" customHeight="1" x14ac:dyDescent="0.3">
      <c r="B177" s="26"/>
      <c r="C177" s="27"/>
      <c r="D177" s="27"/>
      <c r="E177" s="27"/>
      <c r="F177" s="27"/>
      <c r="G177" s="27"/>
      <c r="H177" s="27"/>
      <c r="I177" s="27"/>
      <c r="J177" s="27"/>
      <c r="K177" s="29" t="s">
        <v>82</v>
      </c>
      <c r="L177" s="29"/>
      <c r="M177" s="27" t="str">
        <f>IF(AND(AL26&lt;6,AM26=6),Tables!J2,IF(AND(AL26=6,AM26=6),"",Tables!J2))</f>
        <v>Pre Total not completed</v>
      </c>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8"/>
      <c r="AL177" s="90">
        <f>IF(M177="",0,1)</f>
        <v>1</v>
      </c>
    </row>
    <row r="178" spans="2:38" ht="15" customHeight="1" x14ac:dyDescent="0.3">
      <c r="B178" s="26"/>
      <c r="C178" s="27"/>
      <c r="D178" s="27"/>
      <c r="E178" s="27"/>
      <c r="F178" s="27"/>
      <c r="G178" s="27"/>
      <c r="H178" s="27"/>
      <c r="I178" s="27"/>
      <c r="J178" s="27"/>
      <c r="K178" s="29" t="s">
        <v>83</v>
      </c>
      <c r="L178" s="29"/>
      <c r="M178" s="27" t="str">
        <f>IF(AND(AL39&lt;6,AM39=6),Tables!J3,IF(AND(AL39=6,AM39=6),"",Tables!J3))</f>
        <v>Post Total not completed</v>
      </c>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8"/>
      <c r="AL178" s="90">
        <f t="shared" ref="AL178:AL193" si="17">IF(M178="",0,1)</f>
        <v>1</v>
      </c>
    </row>
    <row r="179" spans="2:38" ht="15" customHeight="1" x14ac:dyDescent="0.3">
      <c r="B179" s="26"/>
      <c r="C179" s="27"/>
      <c r="D179" s="27"/>
      <c r="E179" s="27"/>
      <c r="F179" s="27"/>
      <c r="G179" s="27"/>
      <c r="H179" s="27"/>
      <c r="I179" s="27"/>
      <c r="J179" s="27"/>
      <c r="K179" s="29" t="s">
        <v>429</v>
      </c>
      <c r="L179" s="29"/>
      <c r="M179" s="27" t="str">
        <f>IF(AM85&gt;0,Tables!J20,"")</f>
        <v>Outlet protection section not completed</v>
      </c>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8"/>
      <c r="AL179" s="90">
        <f t="shared" si="17"/>
        <v>1</v>
      </c>
    </row>
    <row r="180" spans="2:38" ht="15" customHeight="1" x14ac:dyDescent="0.3">
      <c r="B180" s="26"/>
      <c r="C180" s="27"/>
      <c r="D180" s="27"/>
      <c r="E180" s="27"/>
      <c r="F180" s="27"/>
      <c r="G180" s="27"/>
      <c r="H180" s="27"/>
      <c r="I180" s="27"/>
      <c r="J180" s="27"/>
      <c r="K180" s="29" t="s">
        <v>84</v>
      </c>
      <c r="L180" s="29"/>
      <c r="M180" s="27" t="str">
        <f>IF(AM79&lt;6,Tables!J4,"")</f>
        <v>Emergency Spillway Section not completed</v>
      </c>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8"/>
      <c r="AL180" s="90">
        <f t="shared" si="17"/>
        <v>1</v>
      </c>
    </row>
    <row r="181" spans="2:38" ht="15" customHeight="1" x14ac:dyDescent="0.3">
      <c r="B181" s="26"/>
      <c r="C181" s="27"/>
      <c r="D181" s="27"/>
      <c r="E181" s="27"/>
      <c r="F181" s="27"/>
      <c r="G181" s="27"/>
      <c r="H181" s="27"/>
      <c r="I181" s="27"/>
      <c r="J181" s="27"/>
      <c r="K181" s="29" t="s">
        <v>205</v>
      </c>
      <c r="L181" s="29"/>
      <c r="M181" s="27" t="str">
        <f>IF(OR(AL110&lt;1,AL111&lt;1),Tables!J11,"")</f>
        <v>Freeboard  &lt;  1.0 ft</v>
      </c>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8"/>
      <c r="AL181" s="90">
        <f t="shared" si="17"/>
        <v>1</v>
      </c>
    </row>
    <row r="182" spans="2:38" ht="15" customHeight="1" x14ac:dyDescent="0.3">
      <c r="B182" s="26"/>
      <c r="C182" s="27"/>
      <c r="D182" s="27"/>
      <c r="E182" s="27"/>
      <c r="F182" s="27"/>
      <c r="G182" s="27"/>
      <c r="H182" s="27"/>
      <c r="I182" s="27"/>
      <c r="J182" s="27"/>
      <c r="K182" s="29" t="s">
        <v>110</v>
      </c>
      <c r="L182" s="29"/>
      <c r="M182" s="27" t="str">
        <f>IF(AM83&lt;2,Tables!J8,"")</f>
        <v>Latitude and/or Longitude not provided</v>
      </c>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8"/>
      <c r="AL182" s="90">
        <f t="shared" si="17"/>
        <v>1</v>
      </c>
    </row>
    <row r="183" spans="2:38" ht="15" customHeight="1" x14ac:dyDescent="0.3">
      <c r="B183" s="26"/>
      <c r="C183" s="27"/>
      <c r="D183" s="27"/>
      <c r="E183" s="27"/>
      <c r="F183" s="27"/>
      <c r="G183" s="27"/>
      <c r="H183" s="27"/>
      <c r="I183" s="27"/>
      <c r="J183" s="27"/>
      <c r="K183" s="29"/>
      <c r="L183" s="29"/>
      <c r="M183" s="27" t="str">
        <f>IF(AND(AO84=1,AQ84=1),Tables!$J$15,IF(OR(AO84=3,AQ84=3),Tables!$J$15,""))</f>
        <v>Latitude and/or Longitude has been entered as text.  Change to a number.</v>
      </c>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8"/>
      <c r="AL183" s="90">
        <f t="shared" si="17"/>
        <v>1</v>
      </c>
    </row>
    <row r="184" spans="2:38" ht="15" customHeight="1" x14ac:dyDescent="0.3">
      <c r="B184" s="26"/>
      <c r="C184" s="27"/>
      <c r="D184" s="27"/>
      <c r="E184" s="27"/>
      <c r="F184" s="27"/>
      <c r="G184" s="27"/>
      <c r="H184" s="27"/>
      <c r="I184" s="27"/>
      <c r="J184" s="27"/>
      <c r="K184" s="29" t="s">
        <v>144</v>
      </c>
      <c r="L184" s="29"/>
      <c r="M184" s="27" t="str">
        <f>IF(AP98=2,Tables!J9,IF(AM98=1,"",Tables!J9))</f>
        <v>WQv Required &gt; WQv Provided</v>
      </c>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8"/>
      <c r="AL184" s="90">
        <f t="shared" si="17"/>
        <v>1</v>
      </c>
    </row>
    <row r="185" spans="2:38" ht="15" customHeight="1" x14ac:dyDescent="0.3">
      <c r="B185" s="26"/>
      <c r="C185" s="27"/>
      <c r="D185" s="27"/>
      <c r="E185" s="27"/>
      <c r="F185" s="27"/>
      <c r="G185" s="27"/>
      <c r="H185" s="27"/>
      <c r="I185" s="27"/>
      <c r="J185" s="27"/>
      <c r="K185" s="29" t="s">
        <v>441</v>
      </c>
      <c r="L185" s="29"/>
      <c r="M185" s="27" t="str">
        <f>IF(AL89=0,Tables!J21,IF(AL89=1,Tables!J21,""))</f>
        <v>Slope of the bottom of the detention pond  &lt; 1.00%</v>
      </c>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8"/>
      <c r="AL185" s="90">
        <f t="shared" si="17"/>
        <v>1</v>
      </c>
    </row>
    <row r="186" spans="2:38" ht="15" customHeight="1" x14ac:dyDescent="0.3">
      <c r="B186" s="26"/>
      <c r="C186" s="27"/>
      <c r="D186" s="27"/>
      <c r="E186" s="27"/>
      <c r="F186" s="27"/>
      <c r="G186" s="27"/>
      <c r="H186" s="27"/>
      <c r="I186" s="27"/>
      <c r="J186" s="27"/>
      <c r="K186" s="96" t="s">
        <v>85</v>
      </c>
      <c r="L186" s="29"/>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8"/>
      <c r="AL186" s="90">
        <f t="shared" si="17"/>
        <v>0</v>
      </c>
    </row>
    <row r="187" spans="2:38" ht="15" customHeight="1" x14ac:dyDescent="0.3">
      <c r="B187" s="26"/>
      <c r="C187" s="27"/>
      <c r="D187" s="27"/>
      <c r="E187" s="27"/>
      <c r="F187" s="27"/>
      <c r="G187" s="27"/>
      <c r="H187" s="27"/>
      <c r="I187" s="27"/>
      <c r="J187" s="27"/>
      <c r="K187" s="29" t="s">
        <v>78</v>
      </c>
      <c r="L187" s="29"/>
      <c r="M187" s="27" t="str">
        <f>IF(AL105&gt;0,Tables!J7,"")</f>
        <v>Max Stage for 2, 5, 10, 25 and/or 50-year storm  &gt; emergency spillway crest elevation</v>
      </c>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8"/>
      <c r="AL187" s="90">
        <f t="shared" si="17"/>
        <v>1</v>
      </c>
    </row>
    <row r="188" spans="2:38" ht="15" customHeight="1" x14ac:dyDescent="0.3">
      <c r="B188" s="26"/>
      <c r="C188" s="27"/>
      <c r="D188" s="27"/>
      <c r="E188" s="27"/>
      <c r="F188" s="27"/>
      <c r="G188" s="27"/>
      <c r="H188" s="27"/>
      <c r="I188" s="27"/>
      <c r="J188" s="27"/>
      <c r="K188" s="29" t="s">
        <v>175</v>
      </c>
      <c r="L188" s="29"/>
      <c r="M188" s="27" t="str">
        <f>IF(AR105&gt;0,Tables!J18,"")</f>
        <v>Outlet Control Structure Velocity &gt; 6 ft/s</v>
      </c>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8"/>
      <c r="AL188" s="90">
        <f t="shared" si="17"/>
        <v>1</v>
      </c>
    </row>
    <row r="189" spans="2:38" ht="15" customHeight="1" x14ac:dyDescent="0.3">
      <c r="B189" s="26"/>
      <c r="C189" s="27"/>
      <c r="D189" s="27"/>
      <c r="E189" s="27"/>
      <c r="F189" s="27"/>
      <c r="G189" s="27"/>
      <c r="H189" s="27"/>
      <c r="I189" s="27"/>
      <c r="J189" s="27"/>
      <c r="K189" s="29"/>
      <c r="L189" s="29"/>
      <c r="M189" s="27" t="str">
        <f>IF(AM105&gt;0,Tables!J6,"")</f>
        <v>Emergency Spillway Velocity &gt; 6 ft/s</v>
      </c>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8"/>
      <c r="AL189" s="90">
        <f>IF(M189="",0,1)</f>
        <v>1</v>
      </c>
    </row>
    <row r="190" spans="2:38" ht="15" customHeight="1" x14ac:dyDescent="0.3">
      <c r="B190" s="26"/>
      <c r="C190" s="27"/>
      <c r="D190" s="27"/>
      <c r="E190" s="27"/>
      <c r="F190" s="27"/>
      <c r="G190" s="27"/>
      <c r="H190" s="27"/>
      <c r="I190" s="27"/>
      <c r="J190" s="27"/>
      <c r="K190" s="29" t="s">
        <v>86</v>
      </c>
      <c r="L190" s="29"/>
      <c r="M190" s="27" t="str">
        <f>IF(OR(AN105&gt;0,AO105&gt;0),Tables!J5,"")</f>
        <v>Total Post Q &gt; Pre Q</v>
      </c>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8"/>
      <c r="AL190" s="90">
        <f t="shared" si="17"/>
        <v>1</v>
      </c>
    </row>
    <row r="191" spans="2:38" ht="15" customHeight="1" x14ac:dyDescent="0.3">
      <c r="B191" s="26"/>
      <c r="C191" s="27"/>
      <c r="D191" s="27"/>
      <c r="E191" s="27"/>
      <c r="F191" s="27"/>
      <c r="G191" s="27"/>
      <c r="H191" s="27"/>
      <c r="I191" s="27"/>
      <c r="J191" s="27"/>
      <c r="K191" s="29"/>
      <c r="L191" s="29"/>
      <c r="M191" s="27" t="str">
        <f>IF($AQ$105&gt;0,Tables!$J$12,"")</f>
        <v>Total Post Q is &lt; -0.50 ft3/s of Pre Q</v>
      </c>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8"/>
      <c r="AL191" s="90">
        <f t="shared" si="17"/>
        <v>1</v>
      </c>
    </row>
    <row r="192" spans="2:38" ht="15" customHeight="1" x14ac:dyDescent="0.3">
      <c r="B192" s="26"/>
      <c r="C192" s="27"/>
      <c r="D192" s="27"/>
      <c r="E192" s="27"/>
      <c r="F192" s="27"/>
      <c r="G192" s="27"/>
      <c r="H192" s="27"/>
      <c r="I192" s="27"/>
      <c r="J192" s="27"/>
      <c r="K192" s="29"/>
      <c r="L192" s="29"/>
      <c r="M192" s="27" t="str">
        <f>IF(AO124="Yes",IF(AND(ISBLANK($C$124),ISBLANK($F$124)),Tables!$J$14,IF($AO$105&gt;0,Tables!$J$14,"")),"")</f>
        <v/>
      </c>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8"/>
      <c r="AL192" s="90">
        <f t="shared" si="17"/>
        <v>0</v>
      </c>
    </row>
    <row r="193" spans="2:38" ht="15" customHeight="1" x14ac:dyDescent="0.3">
      <c r="B193" s="30"/>
      <c r="C193" s="31"/>
      <c r="D193" s="31"/>
      <c r="E193" s="31"/>
      <c r="F193" s="31"/>
      <c r="G193" s="31"/>
      <c r="H193" s="31"/>
      <c r="I193" s="31"/>
      <c r="J193" s="31"/>
      <c r="K193" s="32"/>
      <c r="L193" s="32"/>
      <c r="M193" s="31" t="str">
        <f>IF(AO126="Yes",IF(AND(ISBLANK($C$126),ISBLANK($F$126)),Tables!J$16,IF($AP$105&gt;0,Tables!$J$16,"")),"")</f>
        <v/>
      </c>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3"/>
      <c r="AL193" s="90">
        <f t="shared" si="17"/>
        <v>0</v>
      </c>
    </row>
    <row r="194" spans="2:38" ht="15" customHeight="1" x14ac:dyDescent="0.3"/>
    <row r="195" spans="2:38" ht="15" customHeight="1" x14ac:dyDescent="0.3"/>
    <row r="196" spans="2:38" ht="15" customHeight="1" x14ac:dyDescent="0.3">
      <c r="B196" s="177">
        <f>Tables!$F$13</f>
        <v>45931</v>
      </c>
      <c r="C196" s="177"/>
      <c r="D196" s="177"/>
      <c r="E196" s="177"/>
      <c r="F196" s="177"/>
      <c r="G196" s="71"/>
      <c r="H196" s="71"/>
      <c r="I196" s="71"/>
      <c r="R196" s="6" t="s">
        <v>254</v>
      </c>
    </row>
    <row r="197" spans="2:38" ht="15" customHeight="1" x14ac:dyDescent="0.3"/>
    <row r="198" spans="2:38" ht="15" customHeight="1" x14ac:dyDescent="0.3"/>
    <row r="199" spans="2:38" ht="15" customHeight="1" x14ac:dyDescent="0.3"/>
    <row r="200" spans="2:38" ht="15" customHeight="1" x14ac:dyDescent="0.3"/>
    <row r="201" spans="2:38" ht="15" customHeight="1" x14ac:dyDescent="0.3"/>
    <row r="202" spans="2:38" ht="15" customHeight="1" x14ac:dyDescent="0.3"/>
    <row r="203" spans="2:38" ht="13.8" x14ac:dyDescent="0.3"/>
  </sheetData>
  <sheetProtection algorithmName="SHA-512" hashValue="9/bpI6SaF1HWBq7Q8KDn8asT5HT2mSStV00067DeD09N6JCN9vcHqZ4JlV6rgBWm15kMB/RzEtTzRj/MVtECwA==" saltValue="RBVE9zeqWr8N1mlhu5TGNw==" spinCount="100000" sheet="1" objects="1" scenarios="1" selectLockedCells="1"/>
  <mergeCells count="352">
    <mergeCell ref="AL140:AM140"/>
    <mergeCell ref="AG89:AH89"/>
    <mergeCell ref="AD6:AJ6"/>
    <mergeCell ref="B106:C106"/>
    <mergeCell ref="M95:P95"/>
    <mergeCell ref="M96:P96"/>
    <mergeCell ref="M97:P97"/>
    <mergeCell ref="B69:D69"/>
    <mergeCell ref="F80:I80"/>
    <mergeCell ref="F81:H81"/>
    <mergeCell ref="O80:Q80"/>
    <mergeCell ref="O81:Q81"/>
    <mergeCell ref="B76:D76"/>
    <mergeCell ref="I74:K74"/>
    <mergeCell ref="I76:K76"/>
    <mergeCell ref="N70:P70"/>
    <mergeCell ref="N71:P71"/>
    <mergeCell ref="I105:K105"/>
    <mergeCell ref="B52:F52"/>
    <mergeCell ref="AA12:AD12"/>
    <mergeCell ref="AA13:AD13"/>
    <mergeCell ref="M92:P92"/>
    <mergeCell ref="S70:U70"/>
    <mergeCell ref="S74:U74"/>
    <mergeCell ref="S76:U76"/>
    <mergeCell ref="L87:M87"/>
    <mergeCell ref="R87:S87"/>
    <mergeCell ref="L85:T85"/>
    <mergeCell ref="L24:N24"/>
    <mergeCell ref="L25:N25"/>
    <mergeCell ref="L26:N26"/>
    <mergeCell ref="L27:N27"/>
    <mergeCell ref="L28:N28"/>
    <mergeCell ref="L29:N29"/>
    <mergeCell ref="L30:N30"/>
    <mergeCell ref="N64:P64"/>
    <mergeCell ref="N65:P65"/>
    <mergeCell ref="N69:P69"/>
    <mergeCell ref="L36:N36"/>
    <mergeCell ref="P36:R36"/>
    <mergeCell ref="L32:N32"/>
    <mergeCell ref="S71:U71"/>
    <mergeCell ref="S69:U69"/>
    <mergeCell ref="N74:P74"/>
    <mergeCell ref="N76:P76"/>
    <mergeCell ref="T24:V24"/>
    <mergeCell ref="E72:G72"/>
    <mergeCell ref="E74:G74"/>
    <mergeCell ref="E76:G76"/>
    <mergeCell ref="C92:E92"/>
    <mergeCell ref="I70:K70"/>
    <mergeCell ref="I71:K71"/>
    <mergeCell ref="E69:G69"/>
    <mergeCell ref="E70:G70"/>
    <mergeCell ref="I72:K72"/>
    <mergeCell ref="F87:G87"/>
    <mergeCell ref="I69:K69"/>
    <mergeCell ref="C96:E96"/>
    <mergeCell ref="H96:J96"/>
    <mergeCell ref="H92:J92"/>
    <mergeCell ref="H93:J93"/>
    <mergeCell ref="H94:J94"/>
    <mergeCell ref="C97:E97"/>
    <mergeCell ref="N14:O14"/>
    <mergeCell ref="F32:G32"/>
    <mergeCell ref="J14:M14"/>
    <mergeCell ref="J15:M15"/>
    <mergeCell ref="J16:M16"/>
    <mergeCell ref="J17:M17"/>
    <mergeCell ref="J18:M18"/>
    <mergeCell ref="J19:M19"/>
    <mergeCell ref="D40:E45"/>
    <mergeCell ref="I37:J37"/>
    <mergeCell ref="L37:N37"/>
    <mergeCell ref="L38:N38"/>
    <mergeCell ref="L39:N39"/>
    <mergeCell ref="L40:N40"/>
    <mergeCell ref="L41:N41"/>
    <mergeCell ref="I24:J24"/>
    <mergeCell ref="F41:G41"/>
    <mergeCell ref="F42:G42"/>
    <mergeCell ref="X37:Z37"/>
    <mergeCell ref="BJ1:CC4"/>
    <mergeCell ref="AV7:BI8"/>
    <mergeCell ref="P31:R31"/>
    <mergeCell ref="P30:R30"/>
    <mergeCell ref="P24:R24"/>
    <mergeCell ref="AF24:AH24"/>
    <mergeCell ref="AF27:AH27"/>
    <mergeCell ref="AF28:AH28"/>
    <mergeCell ref="T28:V28"/>
    <mergeCell ref="T29:V29"/>
    <mergeCell ref="T30:V30"/>
    <mergeCell ref="T31:V31"/>
    <mergeCell ref="X24:Z24"/>
    <mergeCell ref="X25:Z25"/>
    <mergeCell ref="X26:Z26"/>
    <mergeCell ref="X27:Z27"/>
    <mergeCell ref="P23:R23"/>
    <mergeCell ref="X23:Z23"/>
    <mergeCell ref="AB23:AD23"/>
    <mergeCell ref="W15:Z15"/>
    <mergeCell ref="E7:X7"/>
    <mergeCell ref="E8:X8"/>
    <mergeCell ref="W18:Z18"/>
    <mergeCell ref="W19:Z19"/>
    <mergeCell ref="F27:G27"/>
    <mergeCell ref="D27:E32"/>
    <mergeCell ref="T23:V23"/>
    <mergeCell ref="F30:G30"/>
    <mergeCell ref="F31:G31"/>
    <mergeCell ref="AB25:AD25"/>
    <mergeCell ref="AB26:AD26"/>
    <mergeCell ref="AB27:AD27"/>
    <mergeCell ref="P25:R25"/>
    <mergeCell ref="P26:R26"/>
    <mergeCell ref="P27:R27"/>
    <mergeCell ref="P28:R28"/>
    <mergeCell ref="P29:R29"/>
    <mergeCell ref="AB29:AD29"/>
    <mergeCell ref="F28:G28"/>
    <mergeCell ref="F29:G29"/>
    <mergeCell ref="L31:N31"/>
    <mergeCell ref="T27:V27"/>
    <mergeCell ref="X28:Z28"/>
    <mergeCell ref="AB28:AD28"/>
    <mergeCell ref="AB24:AD24"/>
    <mergeCell ref="L23:N23"/>
    <mergeCell ref="X36:Z36"/>
    <mergeCell ref="AB36:AD36"/>
    <mergeCell ref="X29:Z29"/>
    <mergeCell ref="X30:Z30"/>
    <mergeCell ref="X31:Z31"/>
    <mergeCell ref="X32:Z32"/>
    <mergeCell ref="AB32:AD32"/>
    <mergeCell ref="T32:V32"/>
    <mergeCell ref="P32:R32"/>
    <mergeCell ref="AB30:AD30"/>
    <mergeCell ref="AB31:AD31"/>
    <mergeCell ref="F43:G43"/>
    <mergeCell ref="F44:G44"/>
    <mergeCell ref="F45:G45"/>
    <mergeCell ref="AB40:AD40"/>
    <mergeCell ref="AB41:AD41"/>
    <mergeCell ref="AB42:AD42"/>
    <mergeCell ref="AB43:AD43"/>
    <mergeCell ref="AB44:AD44"/>
    <mergeCell ref="AB45:AD45"/>
    <mergeCell ref="P42:R42"/>
    <mergeCell ref="P43:R43"/>
    <mergeCell ref="P44:R44"/>
    <mergeCell ref="P45:R45"/>
    <mergeCell ref="T45:V45"/>
    <mergeCell ref="T42:V42"/>
    <mergeCell ref="T43:V43"/>
    <mergeCell ref="T44:V44"/>
    <mergeCell ref="L42:N42"/>
    <mergeCell ref="L43:N43"/>
    <mergeCell ref="L44:N44"/>
    <mergeCell ref="L45:N45"/>
    <mergeCell ref="F40:G40"/>
    <mergeCell ref="X41:Z41"/>
    <mergeCell ref="W1:AK4"/>
    <mergeCell ref="S64:U64"/>
    <mergeCell ref="AF40:AH40"/>
    <mergeCell ref="AF41:AH41"/>
    <mergeCell ref="AF45:AH45"/>
    <mergeCell ref="X42:Z42"/>
    <mergeCell ref="X43:Z43"/>
    <mergeCell ref="X44:Z44"/>
    <mergeCell ref="X45:Z45"/>
    <mergeCell ref="AI15:AJ15"/>
    <mergeCell ref="AE12:AF12"/>
    <mergeCell ref="AE13:AF13"/>
    <mergeCell ref="T36:V36"/>
    <mergeCell ref="T37:V37"/>
    <mergeCell ref="T38:V38"/>
    <mergeCell ref="T39:V39"/>
    <mergeCell ref="T40:V40"/>
    <mergeCell ref="T41:V41"/>
    <mergeCell ref="X64:Z64"/>
    <mergeCell ref="AC64:AE64"/>
    <mergeCell ref="X40:Z40"/>
    <mergeCell ref="X38:Z38"/>
    <mergeCell ref="X39:Z39"/>
    <mergeCell ref="AB38:AD38"/>
    <mergeCell ref="E58:G58"/>
    <mergeCell ref="E59:G59"/>
    <mergeCell ref="E64:G64"/>
    <mergeCell ref="E65:G65"/>
    <mergeCell ref="D53:Y53"/>
    <mergeCell ref="AE53:AJ53"/>
    <mergeCell ref="N56:Q56"/>
    <mergeCell ref="N58:P58"/>
    <mergeCell ref="N59:P59"/>
    <mergeCell ref="E56:H56"/>
    <mergeCell ref="S65:U65"/>
    <mergeCell ref="I64:K64"/>
    <mergeCell ref="I65:K65"/>
    <mergeCell ref="M93:P93"/>
    <mergeCell ref="C95:E95"/>
    <mergeCell ref="N72:P72"/>
    <mergeCell ref="AE7:AJ7"/>
    <mergeCell ref="AE8:AJ8"/>
    <mergeCell ref="AE54:AJ54"/>
    <mergeCell ref="AF42:AH42"/>
    <mergeCell ref="AF43:AH43"/>
    <mergeCell ref="AF44:AH44"/>
    <mergeCell ref="AF37:AH37"/>
    <mergeCell ref="P37:R37"/>
    <mergeCell ref="AB37:AD37"/>
    <mergeCell ref="P38:R38"/>
    <mergeCell ref="P39:R39"/>
    <mergeCell ref="P40:R40"/>
    <mergeCell ref="P41:R41"/>
    <mergeCell ref="AF32:AH32"/>
    <mergeCell ref="AF31:AH31"/>
    <mergeCell ref="AF29:AH29"/>
    <mergeCell ref="AF30:AH30"/>
    <mergeCell ref="T25:V25"/>
    <mergeCell ref="T26:V26"/>
    <mergeCell ref="AB39:AD39"/>
    <mergeCell ref="E57:G57"/>
    <mergeCell ref="B101:F101"/>
    <mergeCell ref="H98:J98"/>
    <mergeCell ref="U107:W107"/>
    <mergeCell ref="H95:J95"/>
    <mergeCell ref="AD91:AG91"/>
    <mergeCell ref="B70:D70"/>
    <mergeCell ref="B71:D71"/>
    <mergeCell ref="S77:U77"/>
    <mergeCell ref="I77:K77"/>
    <mergeCell ref="N77:P77"/>
    <mergeCell ref="E77:G77"/>
    <mergeCell ref="H91:J91"/>
    <mergeCell ref="O83:R83"/>
    <mergeCell ref="B72:D72"/>
    <mergeCell ref="B74:D74"/>
    <mergeCell ref="B77:D77"/>
    <mergeCell ref="C93:E93"/>
    <mergeCell ref="C94:E94"/>
    <mergeCell ref="W83:Z83"/>
    <mergeCell ref="W81:Y81"/>
    <mergeCell ref="AF81:AH81"/>
    <mergeCell ref="C91:E91"/>
    <mergeCell ref="M91:P91"/>
    <mergeCell ref="E71:G71"/>
    <mergeCell ref="M94:P94"/>
    <mergeCell ref="H97:J97"/>
    <mergeCell ref="M106:O106"/>
    <mergeCell ref="AG105:AJ105"/>
    <mergeCell ref="B108:C108"/>
    <mergeCell ref="B109:C109"/>
    <mergeCell ref="B110:C110"/>
    <mergeCell ref="B111:C111"/>
    <mergeCell ref="AC105:AE105"/>
    <mergeCell ref="AC106:AE106"/>
    <mergeCell ref="AD98:AG98"/>
    <mergeCell ref="AE102:AJ102"/>
    <mergeCell ref="AE103:AJ103"/>
    <mergeCell ref="I111:K111"/>
    <mergeCell ref="I110:K110"/>
    <mergeCell ref="I109:K109"/>
    <mergeCell ref="I108:K108"/>
    <mergeCell ref="I107:K107"/>
    <mergeCell ref="I106:K106"/>
    <mergeCell ref="B107:C107"/>
    <mergeCell ref="U106:W106"/>
    <mergeCell ref="Y105:AA105"/>
    <mergeCell ref="U105:W105"/>
    <mergeCell ref="S98:U98"/>
    <mergeCell ref="S97:U97"/>
    <mergeCell ref="X94:Z94"/>
    <mergeCell ref="X95:Z95"/>
    <mergeCell ref="S92:U92"/>
    <mergeCell ref="S93:U93"/>
    <mergeCell ref="S94:U94"/>
    <mergeCell ref="S95:U95"/>
    <mergeCell ref="AD96:AG96"/>
    <mergeCell ref="AD97:AG97"/>
    <mergeCell ref="S96:U96"/>
    <mergeCell ref="X97:Z97"/>
    <mergeCell ref="S91:U91"/>
    <mergeCell ref="X91:Z91"/>
    <mergeCell ref="X92:Z92"/>
    <mergeCell ref="X93:Z93"/>
    <mergeCell ref="AM114:AN114"/>
    <mergeCell ref="AG106:AI106"/>
    <mergeCell ref="AG107:AI107"/>
    <mergeCell ref="AC107:AE107"/>
    <mergeCell ref="Q106:S106"/>
    <mergeCell ref="Y107:AA107"/>
    <mergeCell ref="Q107:S107"/>
    <mergeCell ref="Q108:S108"/>
    <mergeCell ref="Q109:S109"/>
    <mergeCell ref="Q110:S110"/>
    <mergeCell ref="Y106:AA106"/>
    <mergeCell ref="D102:Y102"/>
    <mergeCell ref="M105:O105"/>
    <mergeCell ref="Q105:S105"/>
    <mergeCell ref="AD95:AG95"/>
    <mergeCell ref="AC104:AE104"/>
    <mergeCell ref="AD92:AG92"/>
    <mergeCell ref="AD93:AG93"/>
    <mergeCell ref="AD94:AG94"/>
    <mergeCell ref="X96:Z96"/>
    <mergeCell ref="M107:O107"/>
    <mergeCell ref="Y110:AA110"/>
    <mergeCell ref="Y104:AA104"/>
    <mergeCell ref="Y108:AA108"/>
    <mergeCell ref="Y109:AA109"/>
    <mergeCell ref="AD172:AH172"/>
    <mergeCell ref="AC108:AE108"/>
    <mergeCell ref="AC109:AE109"/>
    <mergeCell ref="AC110:AE110"/>
    <mergeCell ref="AG108:AI108"/>
    <mergeCell ref="AG109:AI109"/>
    <mergeCell ref="AG110:AI110"/>
    <mergeCell ref="M108:O108"/>
    <mergeCell ref="M109:O109"/>
    <mergeCell ref="M110:O110"/>
    <mergeCell ref="F167:Z167"/>
    <mergeCell ref="F168:L168"/>
    <mergeCell ref="P168:S168"/>
    <mergeCell ref="U110:W110"/>
    <mergeCell ref="AG111:AI111"/>
    <mergeCell ref="U108:W108"/>
    <mergeCell ref="U109:W109"/>
    <mergeCell ref="N15:O15"/>
    <mergeCell ref="N16:O16"/>
    <mergeCell ref="N17:O17"/>
    <mergeCell ref="N18:O18"/>
    <mergeCell ref="N19:O19"/>
    <mergeCell ref="AA15:AB15"/>
    <mergeCell ref="AE15:AH15"/>
    <mergeCell ref="B196:F196"/>
    <mergeCell ref="AE155:AJ155"/>
    <mergeCell ref="Y111:AA111"/>
    <mergeCell ref="D154:Y154"/>
    <mergeCell ref="AE154:AJ154"/>
    <mergeCell ref="AC111:AE111"/>
    <mergeCell ref="U111:W111"/>
    <mergeCell ref="B114:AJ120"/>
    <mergeCell ref="M111:O111"/>
    <mergeCell ref="F170:J170"/>
    <mergeCell ref="B153:F153"/>
    <mergeCell ref="X168:Z168"/>
    <mergeCell ref="F165:Z165"/>
    <mergeCell ref="F166:Z166"/>
    <mergeCell ref="F169:Z169"/>
    <mergeCell ref="Q111:S111"/>
    <mergeCell ref="S72:U72"/>
  </mergeCells>
  <conditionalFormatting sqref="B69">
    <cfRule type="cellIs" priority="259" operator="greaterThan">
      <formula>0</formula>
    </cfRule>
    <cfRule type="expression" dxfId="331" priority="260">
      <formula>$AL$69=1</formula>
    </cfRule>
  </conditionalFormatting>
  <conditionalFormatting sqref="B114">
    <cfRule type="expression" dxfId="330" priority="817">
      <formula>$AL$175&gt;0</formula>
    </cfRule>
    <cfRule type="cellIs" priority="816" stopIfTrue="1" operator="greaterThan">
      <formula>0</formula>
    </cfRule>
  </conditionalFormatting>
  <conditionalFormatting sqref="C91">
    <cfRule type="expression" dxfId="329" priority="449">
      <formula>ISBLANK($C$91)</formula>
    </cfRule>
    <cfRule type="cellIs" priority="448" operator="greaterThan">
      <formula>0</formula>
    </cfRule>
  </conditionalFormatting>
  <conditionalFormatting sqref="C124 F124">
    <cfRule type="expression" dxfId="328" priority="215">
      <formula>$AL$124=1</formula>
    </cfRule>
  </conditionalFormatting>
  <conditionalFormatting sqref="C124">
    <cfRule type="expression" dxfId="327" priority="216">
      <formula>$AM$124=2</formula>
    </cfRule>
  </conditionalFormatting>
  <conditionalFormatting sqref="C126 C146">
    <cfRule type="expression" dxfId="326" priority="123">
      <formula>$AM126=2</formula>
    </cfRule>
  </conditionalFormatting>
  <conditionalFormatting sqref="C126 F126 C146 F146 C150 F150">
    <cfRule type="expression" dxfId="325" priority="122">
      <formula>$AL126=1</formula>
    </cfRule>
  </conditionalFormatting>
  <conditionalFormatting sqref="C142 F142">
    <cfRule type="expression" dxfId="324" priority="41">
      <formula>$AL142=1</formula>
    </cfRule>
  </conditionalFormatting>
  <conditionalFormatting sqref="D53 D102">
    <cfRule type="cellIs" dxfId="323" priority="389" operator="equal">
      <formula>0</formula>
    </cfRule>
  </conditionalFormatting>
  <conditionalFormatting sqref="D154">
    <cfRule type="cellIs" dxfId="322" priority="283" operator="equal">
      <formula>0</formula>
    </cfRule>
  </conditionalFormatting>
  <conditionalFormatting sqref="E7:E8">
    <cfRule type="expression" dxfId="321" priority="406">
      <formula>ISBLANK(E7)</formula>
    </cfRule>
  </conditionalFormatting>
  <conditionalFormatting sqref="E56 N56">
    <cfRule type="expression" dxfId="320" priority="363">
      <formula>ISBLANK(E56)</formula>
    </cfRule>
  </conditionalFormatting>
  <conditionalFormatting sqref="E57">
    <cfRule type="cellIs" priority="290" stopIfTrue="1" operator="greaterThan">
      <formula>0</formula>
    </cfRule>
    <cfRule type="expression" dxfId="319" priority="291">
      <formula>$AL$57</formula>
    </cfRule>
    <cfRule type="expression" priority="289" stopIfTrue="1">
      <formula>$AL$58=2</formula>
    </cfRule>
  </conditionalFormatting>
  <conditionalFormatting sqref="E61 I61">
    <cfRule type="expression" dxfId="318" priority="463">
      <formula>$AL$61=1</formula>
    </cfRule>
  </conditionalFormatting>
  <conditionalFormatting sqref="E64:E65">
    <cfRule type="expression" dxfId="317" priority="361">
      <formula>ISBLANK(E64)</formula>
    </cfRule>
  </conditionalFormatting>
  <conditionalFormatting sqref="E67 I67">
    <cfRule type="expression" dxfId="316" priority="468">
      <formula>$AL$67=1</formula>
    </cfRule>
  </conditionalFormatting>
  <conditionalFormatting sqref="E69:E72 E74 E76:E77 I69 S69">
    <cfRule type="expression" dxfId="315" priority="281">
      <formula>$AL69=2</formula>
    </cfRule>
  </conditionalFormatting>
  <conditionalFormatting sqref="E69:E72 E74 E76:E77">
    <cfRule type="cellIs" priority="280" stopIfTrue="1" operator="greaterThan">
      <formula>0</formula>
    </cfRule>
  </conditionalFormatting>
  <conditionalFormatting sqref="E58:G58 N58:P58">
    <cfRule type="expression" dxfId="314" priority="10">
      <formula>$AL$58=1</formula>
    </cfRule>
    <cfRule type="expression" priority="8" stopIfTrue="1">
      <formula>$AL$57=2</formula>
    </cfRule>
    <cfRule type="cellIs" priority="9" stopIfTrue="1" operator="greaterThan">
      <formula>0</formula>
    </cfRule>
  </conditionalFormatting>
  <conditionalFormatting sqref="E59:G59 N59:P59">
    <cfRule type="expression" dxfId="313" priority="238">
      <formula>ISBLANK(E59)</formula>
    </cfRule>
  </conditionalFormatting>
  <conditionalFormatting sqref="F10 M10 T10">
    <cfRule type="expression" dxfId="312" priority="386">
      <formula>ISBLANK(F10)</formula>
    </cfRule>
  </conditionalFormatting>
  <conditionalFormatting sqref="F142">
    <cfRule type="expression" dxfId="311" priority="1340">
      <formula>$AQ$142&gt;0</formula>
    </cfRule>
  </conditionalFormatting>
  <conditionalFormatting sqref="F144 C144">
    <cfRule type="expression" dxfId="310" priority="43">
      <formula>$AL144=1</formula>
    </cfRule>
  </conditionalFormatting>
  <conditionalFormatting sqref="F144">
    <cfRule type="expression" dxfId="309" priority="42">
      <formula>$AM$144=2</formula>
    </cfRule>
  </conditionalFormatting>
  <conditionalFormatting sqref="F165:F166">
    <cfRule type="expression" dxfId="308" priority="395">
      <formula>ISBLANK(F165)</formula>
    </cfRule>
  </conditionalFormatting>
  <conditionalFormatting sqref="F168:F170">
    <cfRule type="expression" dxfId="307" priority="222">
      <formula>ISBLANK(F168)</formula>
    </cfRule>
  </conditionalFormatting>
  <conditionalFormatting sqref="F80:I80 O80:Q81 F81:H81 W81:Y81 AF81:AH81">
    <cfRule type="expression" dxfId="306" priority="237">
      <formula>ISBLANK(F80)</formula>
    </cfRule>
  </conditionalFormatting>
  <conditionalFormatting sqref="F167:Z167">
    <cfRule type="expression" dxfId="305" priority="225">
      <formula>ISBLANK(F167)</formula>
    </cfRule>
  </conditionalFormatting>
  <conditionalFormatting sqref="G12 J12">
    <cfRule type="expression" dxfId="304" priority="88">
      <formula>$AL$12=1</formula>
    </cfRule>
  </conditionalFormatting>
  <conditionalFormatting sqref="H91 M91">
    <cfRule type="expression" dxfId="303" priority="258">
      <formula>$AL$91=2</formula>
    </cfRule>
    <cfRule type="cellIs" priority="257" operator="greaterThan">
      <formula>0</formula>
    </cfRule>
  </conditionalFormatting>
  <conditionalFormatting sqref="H91">
    <cfRule type="expression" priority="256" stopIfTrue="1">
      <formula>$AN$91=2</formula>
    </cfRule>
  </conditionalFormatting>
  <conditionalFormatting sqref="H92 M92">
    <cfRule type="expression" dxfId="302" priority="338">
      <formula>$AL$92=2</formula>
    </cfRule>
  </conditionalFormatting>
  <conditionalFormatting sqref="H92:H97 M92:M97">
    <cfRule type="cellIs" priority="321" stopIfTrue="1" operator="greaterThan">
      <formula>0</formula>
    </cfRule>
  </conditionalFormatting>
  <conditionalFormatting sqref="H93 M93">
    <cfRule type="expression" dxfId="301" priority="336">
      <formula>$AL$93=2</formula>
    </cfRule>
  </conditionalFormatting>
  <conditionalFormatting sqref="H94 M94">
    <cfRule type="expression" dxfId="300" priority="334">
      <formula>$AL$94=2</formula>
    </cfRule>
  </conditionalFormatting>
  <conditionalFormatting sqref="H95 M95">
    <cfRule type="expression" dxfId="299" priority="332">
      <formula>$AL$95=2</formula>
    </cfRule>
  </conditionalFormatting>
  <conditionalFormatting sqref="H96 M96">
    <cfRule type="expression" dxfId="298" priority="330">
      <formula>$AL$96=2</formula>
    </cfRule>
  </conditionalFormatting>
  <conditionalFormatting sqref="H97 M97">
    <cfRule type="expression" dxfId="297" priority="328">
      <formula>$AL$97=2</formula>
    </cfRule>
  </conditionalFormatting>
  <conditionalFormatting sqref="H98:J98">
    <cfRule type="cellIs" dxfId="296" priority="121" operator="equal">
      <formula>0</formula>
    </cfRule>
  </conditionalFormatting>
  <conditionalFormatting sqref="I24">
    <cfRule type="expression" dxfId="295" priority="61">
      <formula>$AM$14=3</formula>
    </cfRule>
  </conditionalFormatting>
  <conditionalFormatting sqref="I37">
    <cfRule type="expression" dxfId="294" priority="57">
      <formula>$AM$14=3</formula>
    </cfRule>
  </conditionalFormatting>
  <conditionalFormatting sqref="I64 S64">
    <cfRule type="expression" dxfId="293" priority="465">
      <formula>$AL$64=2</formula>
    </cfRule>
  </conditionalFormatting>
  <conditionalFormatting sqref="I64:I65 S64:S65">
    <cfRule type="cellIs" dxfId="292" priority="464" operator="greaterThan">
      <formula>0</formula>
    </cfRule>
  </conditionalFormatting>
  <conditionalFormatting sqref="I65 S65">
    <cfRule type="expression" dxfId="291" priority="467">
      <formula>$AL$65=2</formula>
    </cfRule>
  </conditionalFormatting>
  <conditionalFormatting sqref="I67">
    <cfRule type="expression" dxfId="290" priority="469">
      <formula>$AM$67=2</formula>
    </cfRule>
  </conditionalFormatting>
  <conditionalFormatting sqref="I69:I72 S69:S72 I74 S74 I76:I77 S76:S77">
    <cfRule type="cellIs" priority="267" stopIfTrue="1" operator="greaterThan">
      <formula>0</formula>
    </cfRule>
  </conditionalFormatting>
  <conditionalFormatting sqref="I70 S70">
    <cfRule type="expression" dxfId="289" priority="279">
      <formula>$AL$70=2</formula>
    </cfRule>
  </conditionalFormatting>
  <conditionalFormatting sqref="I71 S71">
    <cfRule type="expression" dxfId="288" priority="277">
      <formula>$AL$71=2</formula>
    </cfRule>
  </conditionalFormatting>
  <conditionalFormatting sqref="I72 S72">
    <cfRule type="expression" dxfId="287" priority="274">
      <formula>$AL$72=2</formula>
    </cfRule>
  </conditionalFormatting>
  <conditionalFormatting sqref="I74 S74">
    <cfRule type="expression" dxfId="286" priority="272">
      <formula>$AL$74=2</formula>
    </cfRule>
  </conditionalFormatting>
  <conditionalFormatting sqref="I76 S76">
    <cfRule type="expression" dxfId="285" priority="270">
      <formula>$AL$76=2</formula>
    </cfRule>
  </conditionalFormatting>
  <conditionalFormatting sqref="I77 S77">
    <cfRule type="expression" dxfId="284" priority="268">
      <formula>$AL$77=2</formula>
    </cfRule>
  </conditionalFormatting>
  <conditionalFormatting sqref="I106:I111">
    <cfRule type="expression" dxfId="283" priority="236">
      <formula>ISBLANK(I106)</formula>
    </cfRule>
  </conditionalFormatting>
  <conditionalFormatting sqref="I130 L130">
    <cfRule type="expression" dxfId="282" priority="30">
      <formula>$AL130=1</formula>
    </cfRule>
  </conditionalFormatting>
  <conditionalFormatting sqref="I130">
    <cfRule type="expression" dxfId="281" priority="29">
      <formula>$AM130=2</formula>
    </cfRule>
  </conditionalFormatting>
  <conditionalFormatting sqref="I136 L136">
    <cfRule type="expression" dxfId="280" priority="7">
      <formula>$AL136=1</formula>
    </cfRule>
  </conditionalFormatting>
  <conditionalFormatting sqref="I148 L148">
    <cfRule type="expression" dxfId="279" priority="211">
      <formula>$AM$146=2</formula>
    </cfRule>
  </conditionalFormatting>
  <conditionalFormatting sqref="I24:J24">
    <cfRule type="expression" dxfId="278" priority="60">
      <formula>$AL$12=1</formula>
    </cfRule>
  </conditionalFormatting>
  <conditionalFormatting sqref="I37:J37">
    <cfRule type="expression" dxfId="277" priority="56">
      <formula>$AL$12=1</formula>
    </cfRule>
  </conditionalFormatting>
  <conditionalFormatting sqref="J14:J18">
    <cfRule type="expression" dxfId="276" priority="402">
      <formula>ISBLANK(J14)</formula>
    </cfRule>
  </conditionalFormatting>
  <conditionalFormatting sqref="J19">
    <cfRule type="cellIs" dxfId="275" priority="243" operator="equal">
      <formula>0</formula>
    </cfRule>
  </conditionalFormatting>
  <conditionalFormatting sqref="J14:M19 P24:R24 T24:V24 X24:Z24 AB24:AD24 AF24:AH24 P37:R37 T37:V37 X37:Z37 AB37:AD37 AF37:AH37">
    <cfRule type="expression" dxfId="274" priority="77">
      <formula>$AM$14=1</formula>
    </cfRule>
    <cfRule type="expression" dxfId="273" priority="76">
      <formula>$AM$14=2</formula>
    </cfRule>
  </conditionalFormatting>
  <conditionalFormatting sqref="L23">
    <cfRule type="expression" dxfId="272" priority="266">
      <formula>ISBLANK($L$23)</formula>
    </cfRule>
    <cfRule type="cellIs" priority="265" operator="greaterThan">
      <formula>0</formula>
    </cfRule>
  </conditionalFormatting>
  <conditionalFormatting sqref="L24:L32">
    <cfRule type="cellIs" dxfId="271" priority="427" stopIfTrue="1" operator="greaterThan">
      <formula>0</formula>
    </cfRule>
    <cfRule type="expression" dxfId="270" priority="428">
      <formula>$L$22=2</formula>
    </cfRule>
  </conditionalFormatting>
  <conditionalFormatting sqref="L36">
    <cfRule type="expression" dxfId="269" priority="426">
      <formula>ISBLANK($L$36)</formula>
    </cfRule>
    <cfRule type="cellIs" priority="425" operator="greaterThan">
      <formula>0</formula>
    </cfRule>
  </conditionalFormatting>
  <conditionalFormatting sqref="L37:L45">
    <cfRule type="expression" dxfId="268" priority="438">
      <formula>$L$35=2</formula>
    </cfRule>
    <cfRule type="cellIs" dxfId="267" priority="437" operator="greaterThan">
      <formula>0</formula>
    </cfRule>
  </conditionalFormatting>
  <conditionalFormatting sqref="L128 I128">
    <cfRule type="expression" dxfId="266" priority="1341">
      <formula>$AL128=1</formula>
    </cfRule>
  </conditionalFormatting>
  <conditionalFormatting sqref="L128">
    <cfRule type="expression" dxfId="265" priority="37">
      <formula>$AM128=2</formula>
    </cfRule>
  </conditionalFormatting>
  <conditionalFormatting sqref="L148 I148">
    <cfRule type="expression" priority="209" stopIfTrue="1">
      <formula>$AN$148=3</formula>
    </cfRule>
  </conditionalFormatting>
  <conditionalFormatting sqref="L148">
    <cfRule type="expression" dxfId="264" priority="206" stopIfTrue="1">
      <formula>$AM$148=2</formula>
    </cfRule>
  </conditionalFormatting>
  <conditionalFormatting sqref="L24:N24">
    <cfRule type="expression" dxfId="263" priority="52">
      <formula>$AM$14=2</formula>
    </cfRule>
    <cfRule type="expression" dxfId="262" priority="53">
      <formula>$AM$14=1</formula>
    </cfRule>
  </conditionalFormatting>
  <conditionalFormatting sqref="L37:N37">
    <cfRule type="expression" dxfId="261" priority="46">
      <formula>$AM$14=1</formula>
    </cfRule>
    <cfRule type="expression" dxfId="260" priority="45">
      <formula>$AM$14=2</formula>
    </cfRule>
  </conditionalFormatting>
  <conditionalFormatting sqref="L85:T85 F87:G87 L87:M87 R87:S87">
    <cfRule type="expression" dxfId="259" priority="13">
      <formula>ISBLANK(F85)</formula>
    </cfRule>
  </conditionalFormatting>
  <conditionalFormatting sqref="M91">
    <cfRule type="expression" priority="1336" stopIfTrue="1">
      <formula>$AO$91=2</formula>
    </cfRule>
  </conditionalFormatting>
  <conditionalFormatting sqref="N14:N19">
    <cfRule type="expression" dxfId="258" priority="85">
      <formula>$AM$14=3</formula>
    </cfRule>
  </conditionalFormatting>
  <conditionalFormatting sqref="N14:O19">
    <cfRule type="expression" dxfId="257" priority="84">
      <formula>$AL$12=1</formula>
    </cfRule>
  </conditionalFormatting>
  <conditionalFormatting sqref="O132 R132">
    <cfRule type="expression" dxfId="256" priority="34">
      <formula>$AM130=2</formula>
    </cfRule>
  </conditionalFormatting>
  <conditionalFormatting sqref="O134 R134">
    <cfRule type="expression" dxfId="255" priority="32">
      <formula>$AM130=2</formula>
    </cfRule>
  </conditionalFormatting>
  <conditionalFormatting sqref="O138 R138">
    <cfRule type="expression" dxfId="254" priority="5">
      <formula>$AM136=2</formula>
    </cfRule>
  </conditionalFormatting>
  <conditionalFormatting sqref="O83:R83 W83:Z83">
    <cfRule type="cellIs" dxfId="253" priority="49" operator="equal">
      <formula>0</formula>
    </cfRule>
  </conditionalFormatting>
  <conditionalFormatting sqref="O83:R83">
    <cfRule type="expression" dxfId="252" priority="1342">
      <formula>$AO$84=3</formula>
    </cfRule>
  </conditionalFormatting>
  <conditionalFormatting sqref="P24:P32">
    <cfRule type="expression" dxfId="251" priority="430">
      <formula>$P$22=2</formula>
    </cfRule>
    <cfRule type="cellIs" dxfId="250" priority="429" operator="greaterThan">
      <formula>0</formula>
    </cfRule>
  </conditionalFormatting>
  <conditionalFormatting sqref="P37:P45">
    <cfRule type="cellIs" dxfId="249" priority="439" operator="greaterThan">
      <formula>0</formula>
    </cfRule>
    <cfRule type="expression" dxfId="248" priority="440">
      <formula>$P$35=2</formula>
    </cfRule>
  </conditionalFormatting>
  <conditionalFormatting sqref="P168">
    <cfRule type="expression" dxfId="247" priority="223">
      <formula>ISBLANK(P168)</formula>
    </cfRule>
  </conditionalFormatting>
  <conditionalFormatting sqref="R132 O132">
    <cfRule type="expression" priority="33" stopIfTrue="1">
      <formula>$AL132=2</formula>
    </cfRule>
  </conditionalFormatting>
  <conditionalFormatting sqref="R132">
    <cfRule type="expression" dxfId="246" priority="28" stopIfTrue="1">
      <formula>$AM132=2</formula>
    </cfRule>
  </conditionalFormatting>
  <conditionalFormatting sqref="R134 O134">
    <cfRule type="expression" priority="31" stopIfTrue="1">
      <formula>$AL134=2</formula>
    </cfRule>
  </conditionalFormatting>
  <conditionalFormatting sqref="R134">
    <cfRule type="expression" dxfId="245" priority="27" stopIfTrue="1">
      <formula>$AM134=2</formula>
    </cfRule>
  </conditionalFormatting>
  <conditionalFormatting sqref="R138 O138">
    <cfRule type="expression" priority="4" stopIfTrue="1">
      <formula>$AL138=2</formula>
    </cfRule>
  </conditionalFormatting>
  <conditionalFormatting sqref="R138">
    <cfRule type="expression" dxfId="244" priority="3" stopIfTrue="1">
      <formula>$AM138=2</formula>
    </cfRule>
  </conditionalFormatting>
  <conditionalFormatting sqref="R140">
    <cfRule type="expression" dxfId="243" priority="2">
      <formula>$AM136=2</formula>
    </cfRule>
    <cfRule type="cellIs" priority="1" stopIfTrue="1" operator="greaterThan">
      <formula>0</formula>
    </cfRule>
  </conditionalFormatting>
  <conditionalFormatting sqref="S98">
    <cfRule type="expression" dxfId="242" priority="231">
      <formula>ISBLANK(S98)</formula>
    </cfRule>
    <cfRule type="cellIs" dxfId="241" priority="450" operator="lessThan">
      <formula>$H98</formula>
    </cfRule>
  </conditionalFormatting>
  <conditionalFormatting sqref="S98:U98">
    <cfRule type="expression" dxfId="240" priority="451">
      <formula>$AN$98=2</formula>
    </cfRule>
  </conditionalFormatting>
  <conditionalFormatting sqref="T24:T32">
    <cfRule type="cellIs" dxfId="239" priority="431" operator="greaterThan">
      <formula>0</formula>
    </cfRule>
    <cfRule type="expression" dxfId="238" priority="432">
      <formula>$T$22=2</formula>
    </cfRule>
  </conditionalFormatting>
  <conditionalFormatting sqref="T37:T45">
    <cfRule type="expression" dxfId="237" priority="442">
      <formula>$T$35=2</formula>
    </cfRule>
    <cfRule type="cellIs" dxfId="236" priority="441" operator="greaterThan">
      <formula>0</formula>
    </cfRule>
  </conditionalFormatting>
  <conditionalFormatting sqref="U106:U109">
    <cfRule type="cellIs" dxfId="235" priority="204" operator="greaterThan">
      <formula>$W$81</formula>
    </cfRule>
  </conditionalFormatting>
  <conditionalFormatting sqref="U110">
    <cfRule type="expression" dxfId="234" priority="127">
      <formula>$AL$110&lt;1</formula>
    </cfRule>
  </conditionalFormatting>
  <conditionalFormatting sqref="U111">
    <cfRule type="expression" dxfId="233" priority="589">
      <formula>$AL$111&lt;1</formula>
    </cfRule>
  </conditionalFormatting>
  <conditionalFormatting sqref="W15:Z15">
    <cfRule type="expression" dxfId="232" priority="72">
      <formula>$AM$14=2</formula>
    </cfRule>
    <cfRule type="expression" dxfId="231" priority="73">
      <formula>$AM$14=1</formula>
    </cfRule>
    <cfRule type="expression" priority="241" stopIfTrue="1">
      <formula>$AL$15=1</formula>
    </cfRule>
    <cfRule type="cellIs" dxfId="230" priority="242" operator="equal">
      <formula>0</formula>
    </cfRule>
  </conditionalFormatting>
  <conditionalFormatting sqref="W18:Z19">
    <cfRule type="cellIs" dxfId="229" priority="79" operator="equal">
      <formula>0</formula>
    </cfRule>
    <cfRule type="expression" priority="78" stopIfTrue="1">
      <formula>$AL$15=1</formula>
    </cfRule>
  </conditionalFormatting>
  <conditionalFormatting sqref="W83:Z83">
    <cfRule type="expression" dxfId="228" priority="1343">
      <formula>$AQ$84=3</formula>
    </cfRule>
  </conditionalFormatting>
  <conditionalFormatting sqref="X24:X32">
    <cfRule type="expression" dxfId="227" priority="434">
      <formula>$X$22=2</formula>
    </cfRule>
    <cfRule type="cellIs" dxfId="226" priority="433" operator="greaterThan">
      <formula>0</formula>
    </cfRule>
  </conditionalFormatting>
  <conditionalFormatting sqref="X37:X45">
    <cfRule type="expression" dxfId="225" priority="444">
      <formula>$X$35=2</formula>
    </cfRule>
    <cfRule type="cellIs" dxfId="224" priority="443" operator="greaterThan">
      <formula>0</formula>
    </cfRule>
  </conditionalFormatting>
  <conditionalFormatting sqref="X64">
    <cfRule type="cellIs" dxfId="223" priority="219" operator="greaterThan">
      <formula>0</formula>
    </cfRule>
    <cfRule type="expression" dxfId="222" priority="220">
      <formula>$AL$64=2</formula>
    </cfRule>
  </conditionalFormatting>
  <conditionalFormatting sqref="X91 AD91">
    <cfRule type="expression" dxfId="221" priority="320">
      <formula>$AM$91=2</formula>
    </cfRule>
  </conditionalFormatting>
  <conditionalFormatting sqref="X91:X92 AD91:AD92">
    <cfRule type="cellIs" priority="317" stopIfTrue="1" operator="greaterThan">
      <formula>0</formula>
    </cfRule>
  </conditionalFormatting>
  <conditionalFormatting sqref="X92 AD92">
    <cfRule type="expression" dxfId="220" priority="318">
      <formula>$AM$92=2</formula>
    </cfRule>
  </conditionalFormatting>
  <conditionalFormatting sqref="X93 AD93">
    <cfRule type="cellIs" priority="315" stopIfTrue="1" operator="greaterThan">
      <formula>1</formula>
    </cfRule>
    <cfRule type="expression" dxfId="219" priority="316">
      <formula>$AM$93=2</formula>
    </cfRule>
  </conditionalFormatting>
  <conditionalFormatting sqref="X94 AD94">
    <cfRule type="expression" dxfId="218" priority="314">
      <formula>$AM$94=2</formula>
    </cfRule>
  </conditionalFormatting>
  <conditionalFormatting sqref="X94:X97 AD94:AD97">
    <cfRule type="cellIs" priority="303" stopIfTrue="1" operator="greaterThan">
      <formula>0</formula>
    </cfRule>
  </conditionalFormatting>
  <conditionalFormatting sqref="X95 AD95">
    <cfRule type="expression" dxfId="217" priority="312">
      <formula>$AM$95=2</formula>
    </cfRule>
  </conditionalFormatting>
  <conditionalFormatting sqref="X96 AD96">
    <cfRule type="expression" dxfId="216" priority="310">
      <formula>$AM$96=2</formula>
    </cfRule>
  </conditionalFormatting>
  <conditionalFormatting sqref="X97 AD97">
    <cfRule type="expression" dxfId="215" priority="308">
      <formula>$AM$97=2</formula>
    </cfRule>
  </conditionalFormatting>
  <conditionalFormatting sqref="X168">
    <cfRule type="expression" dxfId="214" priority="224">
      <formula>ISBLANK(X168)</formula>
    </cfRule>
  </conditionalFormatting>
  <conditionalFormatting sqref="Y106:Y111">
    <cfRule type="cellIs" dxfId="213" priority="51" operator="greaterThan">
      <formula>$AM$112</formula>
    </cfRule>
    <cfRule type="expression" dxfId="212" priority="50" stopIfTrue="1">
      <formula>ISBLANK(Y106)</formula>
    </cfRule>
  </conditionalFormatting>
  <conditionalFormatting sqref="Z21 AC21 AF21 AI21">
    <cfRule type="expression" dxfId="211" priority="1338">
      <formula>$AL21=1</formula>
    </cfRule>
    <cfRule type="expression" priority="1337" stopIfTrue="1">
      <formula>$AL21=2</formula>
    </cfRule>
  </conditionalFormatting>
  <conditionalFormatting sqref="AA12:AA13">
    <cfRule type="expression" dxfId="210" priority="403">
      <formula>ISBLANK(AA12)</formula>
    </cfRule>
  </conditionalFormatting>
  <conditionalFormatting sqref="AA15">
    <cfRule type="expression" dxfId="209" priority="83">
      <formula>$AM$14=3</formula>
    </cfRule>
  </conditionalFormatting>
  <conditionalFormatting sqref="AA15:AB15">
    <cfRule type="expression" dxfId="208" priority="82">
      <formula>$AL$12=1</formula>
    </cfRule>
  </conditionalFormatting>
  <conditionalFormatting sqref="AA12:AD13">
    <cfRule type="expression" dxfId="207" priority="75">
      <formula>$AM$14=1</formula>
    </cfRule>
    <cfRule type="expression" dxfId="206" priority="74">
      <formula>$AM$14=2</formula>
    </cfRule>
  </conditionalFormatting>
  <conditionalFormatting sqref="AB10">
    <cfRule type="expression" dxfId="205" priority="39">
      <formula>ISBLANK(AB10)</formula>
    </cfRule>
  </conditionalFormatting>
  <conditionalFormatting sqref="AB24:AB32">
    <cfRule type="cellIs" dxfId="204" priority="435" operator="greaterThan">
      <formula>0</formula>
    </cfRule>
    <cfRule type="expression" dxfId="203" priority="436">
      <formula>$AB$22=2</formula>
    </cfRule>
  </conditionalFormatting>
  <conditionalFormatting sqref="AB37:AB45">
    <cfRule type="cellIs" dxfId="202" priority="445" operator="greaterThan">
      <formula>0</formula>
    </cfRule>
    <cfRule type="expression" dxfId="201" priority="446">
      <formula>$AB$35=2</formula>
    </cfRule>
  </conditionalFormatting>
  <conditionalFormatting sqref="AC64">
    <cfRule type="expression" dxfId="200" priority="218">
      <formula>$AL$64=2</formula>
    </cfRule>
    <cfRule type="cellIs" dxfId="199" priority="217" operator="greaterThan">
      <formula>0</formula>
    </cfRule>
  </conditionalFormatting>
  <conditionalFormatting sqref="AC106:AC111">
    <cfRule type="cellIs" dxfId="198" priority="818" operator="greaterThan">
      <formula>$AM$112</formula>
    </cfRule>
  </conditionalFormatting>
  <conditionalFormatting sqref="AD98 M106:M111 Q106:Q111 U106:U111 AC106:AC111">
    <cfRule type="expression" dxfId="197" priority="126" stopIfTrue="1">
      <formula>ISBLANK(M98)</formula>
    </cfRule>
  </conditionalFormatting>
  <conditionalFormatting sqref="AD172">
    <cfRule type="expression" dxfId="196" priority="393">
      <formula>ISBLANK(AD172)</formula>
    </cfRule>
  </conditionalFormatting>
  <conditionalFormatting sqref="AD98:AG98">
    <cfRule type="expression" dxfId="195" priority="388">
      <formula>$AO$98=2</formula>
    </cfRule>
  </conditionalFormatting>
  <conditionalFormatting sqref="AD6:AJ6">
    <cfRule type="cellIs" dxfId="194" priority="44" operator="equal">
      <formula>0</formula>
    </cfRule>
  </conditionalFormatting>
  <conditionalFormatting sqref="AE12:AE13">
    <cfRule type="expression" dxfId="193" priority="87">
      <formula>$AM$14=3</formula>
    </cfRule>
  </conditionalFormatting>
  <conditionalFormatting sqref="AE12:AF13">
    <cfRule type="expression" dxfId="192" priority="86">
      <formula>$AL$12=1</formula>
    </cfRule>
  </conditionalFormatting>
  <conditionalFormatting sqref="AE15:AH15">
    <cfRule type="expression" priority="80" stopIfTrue="1">
      <formula>$AL$15=1</formula>
    </cfRule>
    <cfRule type="cellIs" dxfId="191" priority="81" operator="equal">
      <formula>0</formula>
    </cfRule>
  </conditionalFormatting>
  <conditionalFormatting sqref="AE7:AJ8">
    <cfRule type="expression" dxfId="190" priority="239">
      <formula>ISBLANK(AE7)</formula>
    </cfRule>
  </conditionalFormatting>
  <conditionalFormatting sqref="AE53:AJ54">
    <cfRule type="cellIs" dxfId="189" priority="228" operator="equal">
      <formula>0</formula>
    </cfRule>
  </conditionalFormatting>
  <conditionalFormatting sqref="AE102:AJ103">
    <cfRule type="cellIs" dxfId="188" priority="227" operator="equal">
      <formula>0</formula>
    </cfRule>
  </conditionalFormatting>
  <conditionalFormatting sqref="AE154:AJ155">
    <cfRule type="cellIs" dxfId="187" priority="226" operator="equal">
      <formula>0</formula>
    </cfRule>
  </conditionalFormatting>
  <conditionalFormatting sqref="AF56 AI56">
    <cfRule type="expression" dxfId="186" priority="470">
      <formula>$AL$56=1</formula>
    </cfRule>
  </conditionalFormatting>
  <conditionalFormatting sqref="AF67 AI67">
    <cfRule type="expression" dxfId="185" priority="12">
      <formula>$AN67=1</formula>
    </cfRule>
  </conditionalFormatting>
  <conditionalFormatting sqref="AF69 AI69">
    <cfRule type="expression" dxfId="184" priority="11">
      <formula>$AN69=1</formula>
    </cfRule>
  </conditionalFormatting>
  <conditionalFormatting sqref="AF79 AI79">
    <cfRule type="expression" dxfId="183" priority="17">
      <formula>$AL79=1</formula>
    </cfRule>
  </conditionalFormatting>
  <conditionalFormatting sqref="AF85">
    <cfRule type="expression" dxfId="182" priority="1359">
      <formula>$AO85=1</formula>
    </cfRule>
  </conditionalFormatting>
  <conditionalFormatting sqref="AF27:AH32 AF40:AH45">
    <cfRule type="expression" dxfId="181" priority="240">
      <formula>ISBLANK(AF27)</formula>
    </cfRule>
  </conditionalFormatting>
  <conditionalFormatting sqref="AF28:AH32">
    <cfRule type="cellIs" dxfId="180" priority="234" operator="equal">
      <formula>0</formula>
    </cfRule>
  </conditionalFormatting>
  <conditionalFormatting sqref="AF41:AH45">
    <cfRule type="cellIs" dxfId="179" priority="233" operator="equal">
      <formula>0</formula>
    </cfRule>
  </conditionalFormatting>
  <conditionalFormatting sqref="AG106:AG111">
    <cfRule type="expression" dxfId="178" priority="205" stopIfTrue="1">
      <formula>$AN106=1</formula>
    </cfRule>
    <cfRule type="expression" dxfId="177" priority="119">
      <formula>ISBLANK(AG106)</formula>
    </cfRule>
  </conditionalFormatting>
  <conditionalFormatting sqref="AG89:AH89">
    <cfRule type="expression" dxfId="176" priority="1362">
      <formula>$AL$89=1</formula>
    </cfRule>
    <cfRule type="expression" dxfId="175" priority="1363">
      <formula>ISBLANK(AG89)</formula>
    </cfRule>
  </conditionalFormatting>
  <conditionalFormatting sqref="AG106:AI111">
    <cfRule type="expression" dxfId="174" priority="297">
      <formula>$AO106=1</formula>
    </cfRule>
    <cfRule type="expression" dxfId="173" priority="457">
      <formula>$AP106=1</formula>
    </cfRule>
  </conditionalFormatting>
  <conditionalFormatting sqref="AI85 AF87 AI87">
    <cfRule type="expression" dxfId="172" priority="1356">
      <formula>$AO85=1</formula>
    </cfRule>
  </conditionalFormatting>
  <conditionalFormatting sqref="AI85">
    <cfRule type="expression" dxfId="171" priority="1361">
      <formula>$AP85=2</formula>
    </cfRule>
  </conditionalFormatting>
  <conditionalFormatting sqref="AI87">
    <cfRule type="expression" dxfId="170" priority="1358">
      <formula>$AP87=2</formula>
    </cfRule>
  </conditionalFormatting>
  <dataValidations count="2">
    <dataValidation type="list" allowBlank="1" showInputMessage="1" showErrorMessage="1" sqref="O80:Q80 N56:Q56 E64:G65 E69:G72 E74:G74 E76:G77" xr:uid="{DA2C8436-B703-4142-BC5C-9FC31B81A6C7}">
      <formula1>Shape</formula1>
    </dataValidation>
    <dataValidation type="list" allowBlank="1" showInputMessage="1" showErrorMessage="1" sqref="E56:H56 F80:I80" xr:uid="{F9FCB241-036B-4D7D-BBE2-FAC3AE116326}">
      <formula1>Material</formula1>
    </dataValidation>
  </dataValidations>
  <pageMargins left="0.2" right="0.2" top="0.5" bottom="0.25" header="0.3" footer="0.3"/>
  <pageSetup fitToWidth="0" orientation="portrait" r:id="rId1"/>
  <rowBreaks count="3" manualBreakCount="3">
    <brk id="52" max="16383" man="1"/>
    <brk id="101" max="16383" man="1"/>
    <brk id="153" max="16383" man="1"/>
  </rowBreaks>
  <colBreaks count="1" manualBreakCount="1">
    <brk id="46" max="1048575" man="1"/>
  </col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998F1E98-0479-4245-8F54-19F93D4CF78E}">
          <x14:formula1>
            <xm:f>Tables!$F$2:$F$7</xm:f>
          </x14:formula1>
          <xm:sqref>F66:I66</xm:sqref>
        </x14:dataValidation>
        <x14:dataValidation type="list" allowBlank="1" showInputMessage="1" showErrorMessage="1" xr:uid="{5A32B99B-E12D-45B5-BEED-B8F99C498171}">
          <x14:formula1>
            <xm:f>Tables!$H$2:$H$5</xm:f>
          </x14:formula1>
          <xm:sqref>B69</xm:sqref>
        </x14:dataValidation>
        <x14:dataValidation type="list" allowBlank="1" showInputMessage="1" showErrorMessage="1" xr:uid="{0A75D05C-E913-4A6F-B739-B4602DDB4488}">
          <x14:formula1>
            <xm:f>Tables!$H$2:$H$4</xm:f>
          </x14:formula1>
          <xm:sqref>B70:B72 B76:B77 B74</xm:sqref>
        </x14:dataValidation>
        <x14:dataValidation type="list" allowBlank="1" showInputMessage="1" showErrorMessage="1" xr:uid="{CD9E10F7-691C-4D5C-A5FE-F7A79203B9BA}">
          <x14:formula1>
            <xm:f>Tables!$H$9:$H$14</xm:f>
          </x14:formula1>
          <xm:sqref>L85</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306CA1BD-32A3-469F-958A-33B9DA150433}">
          <x14:formula1>
            <xm:f>Tables!$B$8</xm:f>
          </x14:formula1>
          <xm:sqref>AD172:AH172 E7:X8 AD6:AJ6 F10 M10 T10 AB10 G12 J12 AA12:AD13 J14:M18 Z21 AC21 AF21 AI21 L23:N32 P23:R32 T23:V32 X23:Z32 AB23:AD32 AF24:AH24 AF27:AH32 L36:N45 P36:R45 T36:V45 X36:Z45 AB36:AD45 AF37:AH37 AF40:AH45 AF56 AI56 E57:G59 N58:P59 E61 I61 I64:K65 N64:P65 S64:U65 X64:Z64 AC64:AE64 AF67 AI67 AI69 AF69 I69:K72 I74:K74 I76:K77 N69:P72 N74:P74 N76:P77 S69:U72 S74:U74 S76:U77 AF79 AI79 F81:H81 O81:Q81 W81:Y81 AF81:AH81 O83:R83 W83:Z83 AF85 AI85 AI87 AF87 R87:S87 L87:M87 F87:G87 C91:E97 H91:J97 M91:P97 S91:U97 X91:Z97 AD91:AG97 I106:K111 M106:O111 Q106:S111 U106:W111 Y106:AA111 AC106:AE111 AG106:AI111 B114:AJ120 C124 F124 C126 F126 I128 L128 I130 L130 O132 R132 O134 R134 C142 F142 C150 F150 C144 F144 C146 F146 I148 L148 F165:Z167 F168:L168 P168:S168 X168:Z168 F169:Z169 F170:J170 AE7:AJ8 I136 L136 O138 R138</xm:sqref>
        </x14:dataValidation>
        <x14:dataValidation type="list" allowBlank="1" showInputMessage="1" showErrorMessage="1" xr:uid="{72D3C7D6-C1F4-4077-B8A1-E667AE5D468F}">
          <x14:formula1>
            <xm:f>Tables!$K$27:$K$30</xm:f>
          </x14:formula1>
          <xm:sqref>R140</xm:sqref>
        </x14:dataValidation>
        <x14:dataValidation type="custom" allowBlank="1" showInputMessage="1" showErrorMessage="1" errorTitle="Woorkbook Locked" error="On the Instructions Tab, accept the conditions to use this form._x000a__x000a_                     OR_x000a__x000a_This form has expired.  Please obtain the latest version of this form." xr:uid="{BD6765E0-1E99-48D9-B219-AF9494FD4000}">
          <x14:formula1>
            <xm:f>Tables!$B$8</xm:f>
          </x14:formula1>
          <xm:sqref>S98:U98 AD98:AG98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CEA75-F88D-4815-BED0-EB790744F719}">
  <sheetPr codeName="Sheet6">
    <tabColor theme="7" tint="0.39997558519241921"/>
  </sheetPr>
  <dimension ref="A1:CN113"/>
  <sheetViews>
    <sheetView showGridLines="0" showRowColHeaders="0" showZeros="0" zoomScale="150" zoomScaleNormal="150" workbookViewId="0">
      <selection activeCell="F10" sqref="F10"/>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38" width="2.77734375" style="4" customWidth="1"/>
    <col min="39" max="43" width="5.77734375" style="75" hidden="1" customWidth="1"/>
    <col min="44" max="79" width="2.77734375" style="4" customWidth="1"/>
    <col min="80" max="92" width="2.77734375" style="4" hidden="1" customWidth="1"/>
    <col min="93" max="16384" width="8.88671875" style="4" hidden="1"/>
  </cols>
  <sheetData>
    <row r="1" spans="2:88" ht="15" customHeight="1" x14ac:dyDescent="0.3">
      <c r="G1" s="5"/>
      <c r="H1" s="5"/>
      <c r="I1" s="5"/>
      <c r="J1" s="5"/>
      <c r="K1" s="5"/>
      <c r="L1" s="5"/>
      <c r="M1" s="5"/>
      <c r="N1" s="213" t="s">
        <v>318</v>
      </c>
      <c r="O1" s="213"/>
      <c r="P1" s="213"/>
      <c r="Q1" s="213"/>
      <c r="R1" s="213"/>
      <c r="S1" s="213"/>
      <c r="T1" s="213"/>
      <c r="U1" s="213"/>
      <c r="V1" s="213"/>
      <c r="W1" s="213"/>
      <c r="X1" s="213"/>
      <c r="Y1" s="213"/>
      <c r="Z1" s="213"/>
      <c r="AA1" s="213"/>
      <c r="AB1" s="213"/>
      <c r="AC1" s="213"/>
      <c r="AD1" s="213"/>
      <c r="AE1" s="213"/>
      <c r="AF1" s="213"/>
      <c r="AG1" s="213"/>
      <c r="AH1" s="213"/>
      <c r="AI1" s="213"/>
      <c r="AJ1" s="213"/>
      <c r="AK1" s="213"/>
      <c r="BD1" s="213" t="str">
        <f>N1</f>
        <v>Form 2A.2 - Detention Pond
Design Attachment Form</v>
      </c>
      <c r="BE1" s="213"/>
      <c r="BF1" s="213"/>
      <c r="BG1" s="213"/>
      <c r="BH1" s="213"/>
      <c r="BI1" s="213"/>
      <c r="BJ1" s="213"/>
      <c r="BK1" s="213"/>
      <c r="BL1" s="213"/>
      <c r="BM1" s="213"/>
      <c r="BN1" s="213"/>
      <c r="BO1" s="213"/>
      <c r="BP1" s="213"/>
      <c r="BQ1" s="213"/>
      <c r="BR1" s="213"/>
      <c r="BS1" s="213"/>
      <c r="BT1" s="213"/>
      <c r="BU1" s="213"/>
      <c r="BV1" s="213"/>
      <c r="BW1" s="213"/>
      <c r="BX1" s="213"/>
      <c r="BY1" s="213"/>
      <c r="BZ1" s="213"/>
    </row>
    <row r="2" spans="2:88" ht="15" customHeight="1" x14ac:dyDescent="0.3">
      <c r="E2" s="5"/>
      <c r="F2" s="5"/>
      <c r="G2" s="5"/>
      <c r="H2" s="5"/>
      <c r="I2" s="5"/>
      <c r="J2" s="5"/>
      <c r="K2" s="5"/>
      <c r="L2" s="5"/>
      <c r="M2" s="5"/>
      <c r="N2" s="213"/>
      <c r="O2" s="213"/>
      <c r="P2" s="213"/>
      <c r="Q2" s="213"/>
      <c r="R2" s="213"/>
      <c r="S2" s="213"/>
      <c r="T2" s="213"/>
      <c r="U2" s="213"/>
      <c r="V2" s="213"/>
      <c r="W2" s="213"/>
      <c r="X2" s="213"/>
      <c r="Y2" s="213"/>
      <c r="Z2" s="213"/>
      <c r="AA2" s="213"/>
      <c r="AB2" s="213"/>
      <c r="AC2" s="213"/>
      <c r="AD2" s="213"/>
      <c r="AE2" s="213"/>
      <c r="AF2" s="213"/>
      <c r="AG2" s="213"/>
      <c r="AH2" s="213"/>
      <c r="AI2" s="213"/>
      <c r="AJ2" s="213"/>
      <c r="AK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row>
    <row r="3" spans="2:88" ht="15" customHeight="1" x14ac:dyDescent="0.3">
      <c r="E3" s="5"/>
      <c r="F3" s="5"/>
      <c r="G3" s="5"/>
      <c r="H3" s="5"/>
      <c r="I3" s="5"/>
      <c r="J3" s="5"/>
      <c r="K3" s="5"/>
      <c r="L3" s="5"/>
      <c r="M3" s="5"/>
      <c r="N3" s="213"/>
      <c r="O3" s="213"/>
      <c r="P3" s="213"/>
      <c r="Q3" s="213"/>
      <c r="R3" s="213"/>
      <c r="S3" s="213"/>
      <c r="T3" s="213"/>
      <c r="U3" s="213"/>
      <c r="V3" s="213"/>
      <c r="W3" s="213"/>
      <c r="X3" s="213"/>
      <c r="Y3" s="213"/>
      <c r="Z3" s="213"/>
      <c r="AA3" s="213"/>
      <c r="AB3" s="213"/>
      <c r="AC3" s="213"/>
      <c r="AD3" s="213"/>
      <c r="AE3" s="213"/>
      <c r="AF3" s="213"/>
      <c r="AG3" s="213"/>
      <c r="AH3" s="213"/>
      <c r="AI3" s="213"/>
      <c r="AJ3" s="213"/>
      <c r="AK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row>
    <row r="4" spans="2:88" ht="15" customHeight="1" x14ac:dyDescent="0.3">
      <c r="E4" s="5"/>
      <c r="F4" s="5"/>
      <c r="G4" s="5"/>
      <c r="H4" s="5"/>
      <c r="I4" s="5"/>
      <c r="J4" s="5"/>
      <c r="K4" s="5"/>
      <c r="L4" s="5"/>
      <c r="M4" s="5"/>
      <c r="N4" s="213"/>
      <c r="O4" s="213"/>
      <c r="P4" s="213"/>
      <c r="Q4" s="213"/>
      <c r="R4" s="213"/>
      <c r="S4" s="213"/>
      <c r="T4" s="213"/>
      <c r="U4" s="213"/>
      <c r="V4" s="213"/>
      <c r="W4" s="213"/>
      <c r="X4" s="213"/>
      <c r="Y4" s="213"/>
      <c r="Z4" s="213"/>
      <c r="AA4" s="213"/>
      <c r="AB4" s="213"/>
      <c r="AC4" s="213"/>
      <c r="AD4" s="213"/>
      <c r="AE4" s="213"/>
      <c r="AF4" s="213"/>
      <c r="AG4" s="213"/>
      <c r="AH4" s="213"/>
      <c r="AI4" s="213"/>
      <c r="AJ4" s="213"/>
      <c r="AK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row>
    <row r="5" spans="2:88" ht="4.95" customHeight="1" x14ac:dyDescent="0.3">
      <c r="E5" s="5"/>
      <c r="F5" s="5"/>
      <c r="G5" s="5"/>
      <c r="H5" s="5"/>
      <c r="I5" s="5"/>
      <c r="J5" s="5"/>
      <c r="K5" s="5"/>
      <c r="L5" s="5"/>
      <c r="M5" s="5"/>
      <c r="N5" s="11"/>
      <c r="O5" s="11"/>
      <c r="P5" s="11"/>
      <c r="Q5" s="11"/>
      <c r="R5" s="11"/>
      <c r="S5" s="11"/>
      <c r="T5" s="11"/>
      <c r="U5" s="11"/>
      <c r="V5" s="11"/>
      <c r="W5" s="11"/>
      <c r="X5" s="11"/>
      <c r="Y5" s="11"/>
      <c r="Z5" s="11"/>
      <c r="AA5" s="11"/>
      <c r="AB5" s="11"/>
      <c r="AC5" s="11"/>
      <c r="AD5" s="11"/>
      <c r="AE5" s="11"/>
      <c r="AF5" s="11"/>
      <c r="AG5" s="11"/>
      <c r="AH5" s="11"/>
      <c r="AI5" s="11"/>
      <c r="AJ5" s="11"/>
      <c r="AK5" s="11"/>
      <c r="BD5" s="11"/>
      <c r="BE5" s="11"/>
      <c r="BF5" s="11"/>
      <c r="BG5" s="11"/>
      <c r="BH5" s="11"/>
      <c r="BI5" s="11"/>
      <c r="BJ5" s="11"/>
      <c r="BK5" s="11"/>
      <c r="BL5" s="11"/>
      <c r="BM5" s="11"/>
      <c r="BN5" s="11"/>
      <c r="BO5" s="11"/>
      <c r="BP5" s="11"/>
      <c r="BQ5" s="11"/>
      <c r="BR5" s="11"/>
      <c r="BS5" s="11"/>
      <c r="BT5" s="11"/>
      <c r="BU5" s="11"/>
      <c r="BV5" s="11"/>
      <c r="BW5" s="11"/>
      <c r="BX5" s="11"/>
      <c r="BY5" s="11"/>
      <c r="BZ5" s="11"/>
    </row>
    <row r="6" spans="2:88" ht="15" customHeight="1" x14ac:dyDescent="0.3">
      <c r="B6" s="1" t="s">
        <v>157</v>
      </c>
      <c r="C6" s="1"/>
      <c r="D6" s="1"/>
      <c r="AR6" s="216" t="s">
        <v>63</v>
      </c>
      <c r="AS6" s="216"/>
      <c r="AT6" s="216"/>
      <c r="AU6" s="216"/>
      <c r="AV6" s="216"/>
      <c r="AW6" s="216"/>
      <c r="AX6" s="216"/>
      <c r="AY6" s="216"/>
      <c r="AZ6" s="216"/>
      <c r="BA6" s="216"/>
      <c r="BB6" s="216"/>
      <c r="BC6" s="216"/>
      <c r="BD6" s="216"/>
      <c r="BE6" s="216"/>
      <c r="BF6" s="216"/>
      <c r="CJ6" s="103"/>
    </row>
    <row r="7" spans="2:88" ht="15" customHeight="1" x14ac:dyDescent="0.3">
      <c r="D7" s="2" t="s">
        <v>131</v>
      </c>
      <c r="E7" s="230">
        <f>'From 2A.1 - Design'!E7</f>
        <v>0</v>
      </c>
      <c r="F7" s="230"/>
      <c r="G7" s="230"/>
      <c r="H7" s="230"/>
      <c r="I7" s="230"/>
      <c r="J7" s="230"/>
      <c r="K7" s="230"/>
      <c r="L7" s="230"/>
      <c r="M7" s="230"/>
      <c r="N7" s="230"/>
      <c r="O7" s="230"/>
      <c r="P7" s="230"/>
      <c r="Q7" s="230"/>
      <c r="R7" s="230"/>
      <c r="S7" s="230"/>
      <c r="T7" s="230"/>
      <c r="U7" s="230"/>
      <c r="V7" s="230"/>
      <c r="W7" s="230"/>
      <c r="X7" s="230"/>
      <c r="Y7" s="230"/>
      <c r="AD7" s="2" t="s">
        <v>158</v>
      </c>
      <c r="AE7" s="231">
        <f>'From 2A.1 - Design'!AE7</f>
        <v>0</v>
      </c>
      <c r="AF7" s="231"/>
      <c r="AG7" s="231"/>
      <c r="AH7" s="231"/>
      <c r="AI7" s="231"/>
      <c r="AJ7" s="231"/>
      <c r="AR7" s="216"/>
      <c r="AS7" s="216"/>
      <c r="AT7" s="216"/>
      <c r="AU7" s="216"/>
      <c r="AV7" s="216"/>
      <c r="AW7" s="216"/>
      <c r="AX7" s="216"/>
      <c r="AY7" s="216"/>
      <c r="AZ7" s="216"/>
      <c r="BA7" s="216"/>
      <c r="BB7" s="216"/>
      <c r="BC7" s="216"/>
      <c r="BD7" s="216"/>
      <c r="BE7" s="216"/>
      <c r="BF7" s="216"/>
      <c r="BG7" s="47"/>
      <c r="BH7" s="47"/>
      <c r="BI7" s="47"/>
      <c r="BJ7" s="47"/>
      <c r="BK7" s="47"/>
      <c r="BL7" s="47"/>
      <c r="BM7" s="47"/>
      <c r="BN7" s="47"/>
      <c r="BO7" s="47"/>
      <c r="BP7" s="47"/>
      <c r="BQ7" s="47"/>
      <c r="BR7" s="47"/>
      <c r="BS7" s="47"/>
      <c r="BT7" s="47"/>
      <c r="BU7" s="37"/>
      <c r="BV7" s="37"/>
      <c r="BW7" s="37"/>
      <c r="BX7" s="37"/>
      <c r="BY7" s="37"/>
      <c r="BZ7" s="37"/>
      <c r="CA7" s="37"/>
      <c r="CB7" s="37"/>
      <c r="CC7" s="37"/>
      <c r="CD7" s="37"/>
      <c r="CE7" s="37"/>
      <c r="CF7" s="37"/>
      <c r="CG7" s="37"/>
      <c r="CH7" s="37"/>
      <c r="CI7" s="37"/>
      <c r="CJ7" s="105"/>
    </row>
    <row r="8" spans="2:88" ht="15" customHeight="1" x14ac:dyDescent="0.3">
      <c r="D8" s="2" t="s">
        <v>132</v>
      </c>
      <c r="E8" s="232">
        <f>'From 2A.1 - Design'!E8</f>
        <v>0</v>
      </c>
      <c r="F8" s="232"/>
      <c r="G8" s="232"/>
      <c r="H8" s="232"/>
      <c r="I8" s="232"/>
      <c r="J8" s="232"/>
      <c r="K8" s="232"/>
      <c r="L8" s="232"/>
      <c r="M8" s="232"/>
      <c r="N8" s="232"/>
      <c r="O8" s="232"/>
      <c r="P8" s="232"/>
      <c r="Q8" s="232"/>
      <c r="R8" s="232"/>
      <c r="S8" s="232"/>
      <c r="T8" s="232"/>
      <c r="U8" s="232"/>
      <c r="V8" s="232"/>
      <c r="W8" s="232"/>
      <c r="X8" s="232"/>
      <c r="Y8" s="232"/>
      <c r="AB8" s="2"/>
      <c r="AR8" s="47">
        <v>1</v>
      </c>
      <c r="AS8" s="67" t="s">
        <v>319</v>
      </c>
      <c r="AT8" s="69"/>
      <c r="AU8" s="47"/>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103"/>
      <c r="BV8" s="103"/>
      <c r="BW8" s="103"/>
      <c r="BX8" s="103"/>
      <c r="BY8" s="103"/>
      <c r="BZ8" s="103"/>
      <c r="CA8" s="103"/>
      <c r="CB8" s="103"/>
      <c r="CC8" s="103"/>
      <c r="CD8" s="103"/>
      <c r="CE8" s="103"/>
      <c r="CF8" s="103"/>
      <c r="CG8" s="103"/>
      <c r="CH8" s="103"/>
      <c r="CI8" s="103"/>
      <c r="CJ8" s="37"/>
    </row>
    <row r="9" spans="2:88" ht="15" customHeight="1" x14ac:dyDescent="0.3">
      <c r="S9" s="2" t="s">
        <v>160</v>
      </c>
      <c r="T9" s="233">
        <f>'From 2A.1 - Design'!O83</f>
        <v>0</v>
      </c>
      <c r="U9" s="233"/>
      <c r="V9" s="233"/>
      <c r="W9" s="233"/>
      <c r="X9" s="233"/>
      <c r="Y9" s="233"/>
      <c r="AA9" s="41"/>
      <c r="AC9" s="41"/>
      <c r="AR9" s="69"/>
      <c r="AS9" s="47" t="s">
        <v>90</v>
      </c>
      <c r="AT9" s="104" t="s">
        <v>296</v>
      </c>
      <c r="AU9" s="47"/>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103"/>
      <c r="BV9" s="103"/>
      <c r="BW9" s="103"/>
      <c r="BX9" s="103"/>
      <c r="BY9" s="103"/>
      <c r="BZ9" s="103"/>
      <c r="CA9" s="103"/>
      <c r="CB9" s="103"/>
      <c r="CC9" s="103"/>
      <c r="CD9" s="103"/>
      <c r="CE9" s="103"/>
      <c r="CF9" s="103"/>
      <c r="CG9" s="103"/>
      <c r="CH9" s="103"/>
      <c r="CI9" s="103"/>
    </row>
    <row r="10" spans="2:88" ht="15" customHeight="1" x14ac:dyDescent="0.3">
      <c r="E10" s="2" t="s">
        <v>297</v>
      </c>
      <c r="F10" s="54"/>
      <c r="G10" s="41" t="s">
        <v>298</v>
      </c>
      <c r="H10" s="108"/>
      <c r="I10" s="54"/>
      <c r="J10" s="41" t="s">
        <v>299</v>
      </c>
      <c r="S10" s="2" t="s">
        <v>161</v>
      </c>
      <c r="T10" s="229">
        <f>'From 2A.1 - Design'!W83</f>
        <v>0</v>
      </c>
      <c r="U10" s="229"/>
      <c r="V10" s="229"/>
      <c r="W10" s="229"/>
      <c r="X10" s="229"/>
      <c r="Y10" s="229"/>
      <c r="AC10" s="41"/>
      <c r="AD10" s="2" t="s">
        <v>159</v>
      </c>
      <c r="AE10" s="228">
        <f>'From 2A.1 - Design'!AE8</f>
        <v>0</v>
      </c>
      <c r="AF10" s="228"/>
      <c r="AG10" s="228"/>
      <c r="AH10" s="228"/>
      <c r="AI10" s="228"/>
      <c r="AJ10" s="228"/>
      <c r="AM10" s="90">
        <f>IF(AND(ISBLANK(F10),ISBLANK(I10)),0,1)</f>
        <v>0</v>
      </c>
      <c r="AN10" s="90">
        <f>IF(ISBLANK(F10),0,1)</f>
        <v>0</v>
      </c>
      <c r="AO10" s="90">
        <f>IF(ISBLANK(I10),0,2)</f>
        <v>0</v>
      </c>
      <c r="AP10" s="90">
        <f>IF(ISBLANK(F10),1,IF(ISBLANK(I10),2,3))</f>
        <v>1</v>
      </c>
      <c r="AQ10" s="90">
        <f>SUM(AN10:AO10)</f>
        <v>0</v>
      </c>
      <c r="AS10" s="6" t="s">
        <v>91</v>
      </c>
      <c r="AT10" s="104" t="s">
        <v>320</v>
      </c>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37"/>
      <c r="BV10" s="37"/>
      <c r="BW10" s="37"/>
      <c r="BX10" s="37"/>
      <c r="BY10" s="37"/>
      <c r="BZ10" s="37"/>
      <c r="CA10" s="37"/>
      <c r="CB10" s="37"/>
      <c r="CC10" s="37"/>
      <c r="CD10" s="37"/>
      <c r="CE10" s="37"/>
      <c r="CF10" s="37"/>
      <c r="CG10" s="37"/>
      <c r="CH10" s="37"/>
      <c r="CI10" s="37"/>
      <c r="CJ10" s="37"/>
    </row>
    <row r="11" spans="2:88" ht="15" customHeight="1" x14ac:dyDescent="0.3">
      <c r="AR11" s="47"/>
      <c r="AS11" s="6" t="s">
        <v>105</v>
      </c>
      <c r="AT11" s="4" t="s">
        <v>321</v>
      </c>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37"/>
      <c r="BV11" s="37"/>
      <c r="BW11" s="37"/>
      <c r="BX11" s="37"/>
      <c r="BY11" s="37"/>
      <c r="BZ11" s="37"/>
      <c r="CA11" s="37"/>
      <c r="CB11" s="37"/>
      <c r="CC11" s="37"/>
      <c r="CD11" s="37"/>
      <c r="CE11" s="37"/>
      <c r="CF11" s="37"/>
      <c r="CG11" s="37"/>
      <c r="CH11" s="37"/>
      <c r="CI11" s="37"/>
      <c r="CJ11" s="37"/>
    </row>
    <row r="12" spans="2:88" ht="15" customHeight="1" x14ac:dyDescent="0.3">
      <c r="C12" s="2"/>
      <c r="E12" s="2" t="s">
        <v>309</v>
      </c>
      <c r="F12" s="54"/>
      <c r="G12" s="4" t="s">
        <v>385</v>
      </c>
      <c r="M12" s="106"/>
      <c r="U12" s="2" t="s">
        <v>306</v>
      </c>
      <c r="V12" s="54"/>
      <c r="W12" s="41" t="s">
        <v>307</v>
      </c>
      <c r="AG12" s="2" t="s">
        <v>314</v>
      </c>
      <c r="AH12" s="214"/>
      <c r="AI12" s="214"/>
      <c r="AM12" s="90">
        <f>IF(AND(ISBLANK(V12),ISBLANK(V14)),0,1)</f>
        <v>0</v>
      </c>
      <c r="AN12" s="90">
        <f>IF(ISBLANK(V12),0,1)</f>
        <v>0</v>
      </c>
      <c r="AO12" s="90">
        <f>IF(ISBLANK(V14),0,1)</f>
        <v>0</v>
      </c>
      <c r="AP12" s="90">
        <f>IF(ISBLANK(V12),1,IF(ISBLANK(V14),2,3))</f>
        <v>1</v>
      </c>
      <c r="AR12" s="47"/>
      <c r="AS12" s="6" t="s">
        <v>106</v>
      </c>
      <c r="AT12" s="4" t="s">
        <v>322</v>
      </c>
    </row>
    <row r="13" spans="2:88" ht="4.95" customHeight="1" x14ac:dyDescent="0.3">
      <c r="C13" s="2"/>
      <c r="D13" s="2"/>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37"/>
      <c r="BV13" s="37"/>
      <c r="BW13" s="37"/>
      <c r="BX13" s="37"/>
      <c r="BY13" s="37"/>
      <c r="BZ13" s="37"/>
      <c r="CA13" s="37"/>
      <c r="CB13" s="37"/>
      <c r="CC13" s="37"/>
      <c r="CD13" s="37"/>
      <c r="CE13" s="37"/>
      <c r="CF13" s="37"/>
      <c r="CG13" s="37"/>
      <c r="CH13" s="37"/>
      <c r="CI13" s="37"/>
      <c r="CJ13" s="37"/>
    </row>
    <row r="14" spans="2:88" ht="15" customHeight="1" x14ac:dyDescent="0.3">
      <c r="F14" s="54"/>
      <c r="G14" s="4" t="s">
        <v>313</v>
      </c>
      <c r="V14" s="54"/>
      <c r="W14" s="41" t="s">
        <v>308</v>
      </c>
      <c r="AG14" s="2" t="s">
        <v>315</v>
      </c>
      <c r="AH14" s="214"/>
      <c r="AI14" s="214"/>
      <c r="AM14" s="90">
        <f>IF(ISBLANK(V12),0,1)</f>
        <v>0</v>
      </c>
      <c r="AN14" s="90">
        <f>IF(ISBLANK(V14),0,2)</f>
        <v>0</v>
      </c>
      <c r="AO14" s="90">
        <f>SUM(AM14:AN14)</f>
        <v>0</v>
      </c>
      <c r="AR14" s="114" t="s">
        <v>355</v>
      </c>
      <c r="AS14" s="104" t="s">
        <v>356</v>
      </c>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37"/>
      <c r="BV14" s="37"/>
      <c r="BW14" s="37"/>
      <c r="BX14" s="37"/>
      <c r="BY14" s="37"/>
      <c r="BZ14" s="37"/>
      <c r="CA14" s="37"/>
      <c r="CB14" s="37"/>
      <c r="CC14" s="37"/>
      <c r="CD14" s="37"/>
      <c r="CE14" s="37"/>
      <c r="CF14" s="37"/>
      <c r="CG14" s="37"/>
      <c r="CH14" s="37"/>
      <c r="CI14" s="37"/>
      <c r="CJ14" s="37"/>
    </row>
    <row r="15" spans="2:88" ht="15" customHeight="1" x14ac:dyDescent="0.3">
      <c r="AE15" s="2"/>
      <c r="AF15" s="2"/>
      <c r="AG15" s="2"/>
      <c r="AH15" s="2"/>
      <c r="AI15" s="2"/>
      <c r="AK15" s="2"/>
      <c r="AL15" s="2"/>
      <c r="AR15" s="114">
        <v>3</v>
      </c>
      <c r="AS15" s="4" t="s">
        <v>386</v>
      </c>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37"/>
      <c r="BV15" s="37"/>
      <c r="BW15" s="37"/>
      <c r="BX15" s="37"/>
      <c r="BY15" s="37"/>
      <c r="BZ15" s="37"/>
      <c r="CA15" s="37"/>
      <c r="CB15" s="37"/>
      <c r="CC15" s="37"/>
      <c r="CD15" s="37"/>
      <c r="CE15" s="37"/>
      <c r="CF15" s="37"/>
      <c r="CG15" s="37"/>
      <c r="CH15" s="37"/>
      <c r="CI15" s="37"/>
      <c r="CJ15" s="37"/>
    </row>
    <row r="16" spans="2:88" ht="15" customHeight="1" x14ac:dyDescent="0.3">
      <c r="B16" s="54"/>
      <c r="C16" s="4" t="s">
        <v>121</v>
      </c>
      <c r="E16" s="54"/>
      <c r="F16" s="4" t="s">
        <v>120</v>
      </c>
      <c r="G16" s="2"/>
      <c r="H16" s="4" t="s">
        <v>332</v>
      </c>
      <c r="AE16" s="2"/>
      <c r="AK16" s="2"/>
      <c r="AL16" s="2"/>
      <c r="AM16" s="90">
        <f>IF(AND(ISBLANK(B16),ISBLANK(E16)),1,2)</f>
        <v>1</v>
      </c>
      <c r="AN16" s="90">
        <f>IF(ISBLANK(B16),1,2)</f>
        <v>1</v>
      </c>
      <c r="AO16" s="90">
        <f>IF(ISBLANK(B16),0,2)</f>
        <v>0</v>
      </c>
      <c r="AP16" s="90">
        <f>IF(ISBLANK(B16),1,IF(ISBLANK(E16),2,3))</f>
        <v>1</v>
      </c>
      <c r="AR16" s="47"/>
      <c r="AS16" s="6" t="s">
        <v>90</v>
      </c>
      <c r="AT16" s="4" t="s">
        <v>387</v>
      </c>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37"/>
      <c r="BV16" s="37"/>
      <c r="BW16" s="37"/>
      <c r="BX16" s="37"/>
      <c r="BY16" s="37"/>
      <c r="BZ16" s="37"/>
      <c r="CA16" s="37"/>
      <c r="CB16" s="37"/>
      <c r="CC16" s="37"/>
      <c r="CD16" s="37"/>
      <c r="CE16" s="37"/>
      <c r="CF16" s="37"/>
      <c r="CG16" s="37"/>
      <c r="CH16" s="37"/>
      <c r="CI16" s="37"/>
      <c r="CJ16" s="37"/>
    </row>
    <row r="17" spans="2:88" ht="4.95" customHeight="1" x14ac:dyDescent="0.3">
      <c r="B17" s="2"/>
      <c r="C17" s="2"/>
      <c r="D17" s="2"/>
      <c r="E17" s="2"/>
      <c r="F17" s="2"/>
      <c r="G17" s="2"/>
      <c r="AE17" s="2"/>
      <c r="AF17" s="2"/>
      <c r="AG17" s="2"/>
      <c r="AH17" s="2"/>
      <c r="AI17" s="2"/>
      <c r="AJ17" s="2"/>
      <c r="AK17" s="2"/>
      <c r="AL17" s="2"/>
      <c r="AR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37"/>
      <c r="BV17" s="37"/>
      <c r="BW17" s="37"/>
      <c r="BX17" s="37"/>
      <c r="BY17" s="37"/>
      <c r="BZ17" s="37"/>
      <c r="CA17" s="37"/>
      <c r="CB17" s="37"/>
      <c r="CC17" s="37"/>
      <c r="CD17" s="37"/>
      <c r="CE17" s="37"/>
      <c r="CF17" s="37"/>
      <c r="CG17" s="37"/>
      <c r="CH17" s="37"/>
      <c r="CI17" s="37"/>
      <c r="CJ17" s="37"/>
    </row>
    <row r="18" spans="2:88" ht="15" customHeight="1" x14ac:dyDescent="0.3">
      <c r="B18" s="54"/>
      <c r="C18" s="4" t="s">
        <v>121</v>
      </c>
      <c r="E18" s="54"/>
      <c r="F18" s="4" t="s">
        <v>120</v>
      </c>
      <c r="G18" s="2"/>
      <c r="H18" s="4" t="s">
        <v>310</v>
      </c>
      <c r="AK18" s="2"/>
      <c r="AL18" s="2"/>
      <c r="AM18" s="90">
        <f>IF(AND(ISBLANK(B18),ISBLANK(E18)),1,2)</f>
        <v>1</v>
      </c>
      <c r="AN18" s="90">
        <f>IF(ISBLANK(B18),1,2)</f>
        <v>1</v>
      </c>
      <c r="AO18" s="90">
        <f>IF(ISBLANK(B18),0,2)</f>
        <v>0</v>
      </c>
      <c r="AP18" s="90">
        <f>IF(ISBLANK(B18),1,IF(ISBLANK(E18),2,3))</f>
        <v>1</v>
      </c>
      <c r="AR18" s="47"/>
      <c r="AS18" s="6" t="s">
        <v>91</v>
      </c>
      <c r="AT18" s="104" t="s">
        <v>388</v>
      </c>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37"/>
      <c r="BV18" s="37"/>
      <c r="BW18" s="37"/>
      <c r="BX18" s="37"/>
      <c r="BY18" s="37"/>
      <c r="BZ18" s="37"/>
      <c r="CA18" s="37"/>
      <c r="CB18" s="37"/>
      <c r="CC18" s="37"/>
      <c r="CD18" s="37"/>
      <c r="CE18" s="37"/>
      <c r="CF18" s="37"/>
      <c r="CG18" s="37"/>
      <c r="CH18" s="37"/>
      <c r="CI18" s="37"/>
      <c r="CJ18" s="37"/>
    </row>
    <row r="19" spans="2:88" ht="4.95" customHeight="1" x14ac:dyDescent="0.3">
      <c r="B19" s="2"/>
      <c r="C19" s="2"/>
      <c r="D19" s="2"/>
      <c r="E19" s="2"/>
      <c r="F19" s="2"/>
      <c r="G19" s="2"/>
      <c r="AE19" s="2"/>
      <c r="AF19" s="2"/>
      <c r="AG19" s="2"/>
      <c r="AH19" s="2"/>
      <c r="AI19" s="2"/>
      <c r="AJ19" s="2"/>
      <c r="AK19" s="2"/>
      <c r="AL19" s="2"/>
      <c r="AR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37"/>
      <c r="BV19" s="37"/>
      <c r="BW19" s="37"/>
      <c r="BX19" s="37"/>
      <c r="BY19" s="37"/>
      <c r="BZ19" s="37"/>
      <c r="CA19" s="37"/>
      <c r="CB19" s="37"/>
      <c r="CC19" s="37"/>
      <c r="CD19" s="37"/>
      <c r="CE19" s="37"/>
      <c r="CF19" s="37"/>
      <c r="CG19" s="37"/>
      <c r="CH19" s="37"/>
      <c r="CI19" s="37"/>
      <c r="CJ19" s="37"/>
    </row>
    <row r="20" spans="2:88" ht="15" customHeight="1" x14ac:dyDescent="0.3">
      <c r="B20" s="54"/>
      <c r="C20" s="4" t="s">
        <v>121</v>
      </c>
      <c r="E20" s="54"/>
      <c r="F20" s="4" t="s">
        <v>120</v>
      </c>
      <c r="G20" s="2"/>
      <c r="H20" s="4" t="s">
        <v>311</v>
      </c>
      <c r="AJ20" s="2"/>
      <c r="AK20" s="2"/>
      <c r="AL20" s="2"/>
      <c r="AM20" s="90">
        <f>IF(AND(ISBLANK(B20),ISBLANK(E20)),1,2)</f>
        <v>1</v>
      </c>
      <c r="AN20" s="90">
        <f>IF(ISBLANK(B20),1,2)</f>
        <v>1</v>
      </c>
      <c r="AO20" s="90">
        <f>IF(ISBLANK(B20),0,2)</f>
        <v>0</v>
      </c>
      <c r="AP20" s="90">
        <f>IF(ISBLANK(B20),1,IF(ISBLANK(E20),2,3))</f>
        <v>1</v>
      </c>
      <c r="AS20" s="47" t="s">
        <v>105</v>
      </c>
      <c r="AT20" s="4" t="s">
        <v>342</v>
      </c>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37"/>
      <c r="BV20" s="37"/>
      <c r="BW20" s="37"/>
      <c r="BX20" s="37"/>
      <c r="BY20" s="37"/>
      <c r="BZ20" s="37"/>
      <c r="CA20" s="37"/>
      <c r="CB20" s="37"/>
      <c r="CC20" s="37"/>
      <c r="CD20" s="37"/>
      <c r="CE20" s="37"/>
      <c r="CF20" s="37"/>
      <c r="CG20" s="37"/>
      <c r="CH20" s="37"/>
      <c r="CI20" s="37"/>
      <c r="CJ20" s="37"/>
    </row>
    <row r="21" spans="2:88" ht="15" customHeight="1" x14ac:dyDescent="0.3">
      <c r="B21" s="2"/>
      <c r="C21" s="2"/>
      <c r="D21" s="2"/>
      <c r="E21" s="2"/>
      <c r="F21" s="2"/>
      <c r="G21" s="2"/>
      <c r="AE21" s="2"/>
      <c r="AF21" s="2"/>
      <c r="AG21" s="2"/>
      <c r="AJ21" s="2"/>
      <c r="AK21" s="2"/>
      <c r="AL21" s="2"/>
      <c r="AR21" s="37"/>
      <c r="AS21" s="47" t="s">
        <v>106</v>
      </c>
      <c r="AT21" s="104" t="s">
        <v>389</v>
      </c>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37"/>
      <c r="BV21" s="37"/>
      <c r="BW21" s="37"/>
      <c r="BX21" s="37"/>
      <c r="BY21" s="37"/>
      <c r="BZ21" s="37"/>
      <c r="CA21" s="37"/>
      <c r="CB21" s="37"/>
      <c r="CC21" s="37"/>
      <c r="CD21" s="37"/>
      <c r="CE21" s="37"/>
      <c r="CF21" s="37"/>
      <c r="CG21" s="37"/>
      <c r="CH21" s="37"/>
      <c r="CI21" s="37"/>
      <c r="CJ21" s="37"/>
    </row>
    <row r="22" spans="2:88" ht="15" customHeight="1" x14ac:dyDescent="0.3">
      <c r="B22" s="2"/>
      <c r="C22" s="2"/>
      <c r="D22" s="2"/>
      <c r="E22" s="2"/>
      <c r="F22" s="2"/>
      <c r="G22" s="2"/>
      <c r="K22" s="197" t="str">
        <f>IF($AO$14=1,"Phase",IF($AO$14=2,"Lot","Type?"))</f>
        <v>Type?</v>
      </c>
      <c r="L22" s="197"/>
      <c r="M22" s="197"/>
      <c r="R22" s="197" t="s">
        <v>353</v>
      </c>
      <c r="S22" s="197"/>
      <c r="T22" s="197"/>
      <c r="Y22" s="197" t="s">
        <v>354</v>
      </c>
      <c r="Z22" s="197"/>
      <c r="AA22" s="197"/>
      <c r="AE22" s="2"/>
      <c r="AF22" s="2"/>
      <c r="AG22" s="2"/>
      <c r="AJ22" s="2"/>
      <c r="AK22" s="2"/>
      <c r="AL22" s="2"/>
      <c r="AR22" s="37"/>
      <c r="AS22" s="47" t="s">
        <v>104</v>
      </c>
      <c r="AT22" s="104" t="s">
        <v>390</v>
      </c>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37"/>
      <c r="BV22" s="37"/>
      <c r="BW22" s="37"/>
      <c r="BX22" s="37"/>
      <c r="BY22" s="37"/>
      <c r="BZ22" s="37"/>
      <c r="CA22" s="37"/>
      <c r="CB22" s="37"/>
      <c r="CC22" s="37"/>
      <c r="CD22" s="37"/>
      <c r="CE22" s="37"/>
      <c r="CF22" s="37"/>
      <c r="CG22" s="37"/>
      <c r="CH22" s="37"/>
      <c r="CI22" s="37"/>
      <c r="CJ22" s="37"/>
    </row>
    <row r="23" spans="2:88" ht="15" customHeight="1" x14ac:dyDescent="0.3">
      <c r="B23" s="197" t="s">
        <v>493</v>
      </c>
      <c r="C23" s="197"/>
      <c r="D23" s="197"/>
      <c r="F23" s="197" t="str">
        <f>IF($AO$14=1,"No. Lots",IF($AO$14=2,"Lot ID","Type?"))</f>
        <v>Type?</v>
      </c>
      <c r="G23" s="197"/>
      <c r="H23" s="197"/>
      <c r="K23" s="197" t="s">
        <v>16</v>
      </c>
      <c r="L23" s="197"/>
      <c r="M23" s="197"/>
      <c r="R23" s="197" t="s">
        <v>301</v>
      </c>
      <c r="S23" s="197"/>
      <c r="T23" s="197"/>
      <c r="Y23" s="197" t="s">
        <v>301</v>
      </c>
      <c r="Z23" s="197"/>
      <c r="AA23" s="197"/>
      <c r="AD23" s="4" t="s">
        <v>316</v>
      </c>
      <c r="AR23" s="37"/>
      <c r="AS23" s="47" t="s">
        <v>107</v>
      </c>
      <c r="AT23" s="104" t="s">
        <v>391</v>
      </c>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37"/>
      <c r="BV23" s="37"/>
      <c r="BW23" s="37"/>
      <c r="BX23" s="37"/>
      <c r="BY23" s="37"/>
      <c r="BZ23" s="37"/>
      <c r="CA23" s="37"/>
      <c r="CB23" s="37"/>
      <c r="CC23" s="37"/>
      <c r="CD23" s="37"/>
      <c r="CE23" s="37"/>
      <c r="CF23" s="37"/>
      <c r="CG23" s="37"/>
      <c r="CH23" s="37"/>
      <c r="CI23" s="37"/>
      <c r="CJ23" s="37"/>
    </row>
    <row r="24" spans="2:88" ht="15" customHeight="1" x14ac:dyDescent="0.3">
      <c r="B24" s="224"/>
      <c r="C24" s="224"/>
      <c r="D24" s="224"/>
      <c r="F24" s="224"/>
      <c r="G24" s="224"/>
      <c r="H24" s="224"/>
      <c r="K24" s="223"/>
      <c r="L24" s="223"/>
      <c r="M24" s="223"/>
      <c r="N24" s="175" t="str">
        <f>IF($AQ$10=0,"Units?",IF($AQ$10=1,"ac",IF($AQ$10=2,"sq-ft","Error")))</f>
        <v>Units?</v>
      </c>
      <c r="O24" s="175"/>
      <c r="R24" s="223"/>
      <c r="S24" s="223"/>
      <c r="T24" s="223"/>
      <c r="U24" s="175" t="str">
        <f>IF($AQ$10=0,"Units?",IF($AQ$10=1,"ac",IF($AQ$10=2,"sq-ft","Error")))</f>
        <v>Units?</v>
      </c>
      <c r="V24" s="175"/>
      <c r="Y24" s="223"/>
      <c r="Z24" s="223"/>
      <c r="AA24" s="223"/>
      <c r="AB24" s="175" t="str">
        <f>IF($AQ$10=0,"Units?",IF($AQ$10=1,"ac",IF($AQ$10=2,"sq-ft","Error")))</f>
        <v>Units?</v>
      </c>
      <c r="AC24" s="175"/>
      <c r="AE24" s="54"/>
      <c r="AF24" s="4" t="s">
        <v>120</v>
      </c>
      <c r="AH24" s="54"/>
      <c r="AI24" s="4" t="s">
        <v>121</v>
      </c>
      <c r="AM24" s="90">
        <f>IF(ISBLANK(B24),1,2)</f>
        <v>1</v>
      </c>
      <c r="AN24" s="90">
        <f>IF(AND(ISBLANK(AE24),ISBLANK(AH24)),0,1)</f>
        <v>0</v>
      </c>
      <c r="AO24" s="90">
        <f>IF(AND(ISBLANK(AE24),LEN(AH24)&gt;0),2,1)</f>
        <v>1</v>
      </c>
      <c r="AP24" s="90">
        <f>IF(ISBLANK(AE24),1,IF(ISBLANK(AH24),2,3))</f>
        <v>1</v>
      </c>
      <c r="AR24" s="114">
        <v>4</v>
      </c>
      <c r="AS24" s="104" t="s">
        <v>444</v>
      </c>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37"/>
      <c r="BV24" s="37"/>
      <c r="BW24" s="37"/>
      <c r="BX24" s="37"/>
      <c r="BY24" s="37"/>
      <c r="BZ24" s="37"/>
      <c r="CA24" s="37"/>
      <c r="CB24" s="37"/>
      <c r="CC24" s="37"/>
      <c r="CD24" s="37"/>
      <c r="CE24" s="37"/>
      <c r="CF24" s="37"/>
      <c r="CG24" s="37"/>
      <c r="CH24" s="37"/>
      <c r="CI24" s="37"/>
      <c r="CJ24" s="37"/>
    </row>
    <row r="25" spans="2:88" ht="4.95" customHeight="1" x14ac:dyDescent="0.3">
      <c r="C25" s="6"/>
      <c r="F25" s="12"/>
      <c r="G25" s="12"/>
      <c r="K25" s="109"/>
      <c r="L25" s="109"/>
      <c r="M25" s="109"/>
      <c r="N25" s="41"/>
      <c r="O25" s="41"/>
      <c r="R25" s="109"/>
      <c r="S25" s="109"/>
      <c r="T25" s="109"/>
      <c r="U25" s="41"/>
      <c r="V25" s="41"/>
      <c r="Y25" s="109"/>
      <c r="Z25" s="109"/>
      <c r="AA25" s="109"/>
      <c r="AE25" s="110"/>
      <c r="AH25" s="110"/>
      <c r="AM25" s="75">
        <f t="shared" ref="AM25:AM53" si="0">B25</f>
        <v>0</v>
      </c>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37"/>
      <c r="BV25" s="37"/>
      <c r="BW25" s="37"/>
      <c r="BX25" s="37"/>
      <c r="BY25" s="37"/>
      <c r="BZ25" s="37"/>
      <c r="CA25" s="37"/>
      <c r="CB25" s="37"/>
      <c r="CC25" s="37"/>
      <c r="CD25" s="37"/>
      <c r="CE25" s="37"/>
      <c r="CF25" s="37"/>
      <c r="CG25" s="37"/>
      <c r="CH25" s="37"/>
      <c r="CI25" s="37"/>
      <c r="CJ25" s="37"/>
    </row>
    <row r="26" spans="2:88" ht="15" customHeight="1" x14ac:dyDescent="0.3">
      <c r="B26" s="224"/>
      <c r="C26" s="224"/>
      <c r="D26" s="224"/>
      <c r="F26" s="224"/>
      <c r="G26" s="224"/>
      <c r="H26" s="224"/>
      <c r="K26" s="223"/>
      <c r="L26" s="223"/>
      <c r="M26" s="223"/>
      <c r="N26" s="175" t="str">
        <f>IF($AQ$10=0,"Units?",IF($AQ$10=1,"ac",IF($AQ$10=2,"sq-ft","Error")))</f>
        <v>Units?</v>
      </c>
      <c r="O26" s="175"/>
      <c r="R26" s="223"/>
      <c r="S26" s="223"/>
      <c r="T26" s="223"/>
      <c r="U26" s="175" t="str">
        <f>IF($AQ$10=0,"Units?",IF($AQ$10=1,"ac",IF($AQ$10=2,"sq-ft","Error")))</f>
        <v>Units?</v>
      </c>
      <c r="V26" s="175"/>
      <c r="Y26" s="223"/>
      <c r="Z26" s="223"/>
      <c r="AA26" s="223"/>
      <c r="AB26" s="175" t="str">
        <f>IF($AQ$10=0,"Units?",IF($AQ$10=1,"ac",IF($AQ$10=2,"sq-ft","Error")))</f>
        <v>Units?</v>
      </c>
      <c r="AC26" s="175"/>
      <c r="AE26" s="54"/>
      <c r="AF26" s="4" t="s">
        <v>120</v>
      </c>
      <c r="AH26" s="54"/>
      <c r="AI26" s="4" t="s">
        <v>121</v>
      </c>
      <c r="AM26" s="90">
        <f>IF(ISBLANK(B26),1,2)</f>
        <v>1</v>
      </c>
      <c r="AN26" s="90">
        <f>IF(AND(ISBLANK(AE26),ISBLANK(AH26)),0,1)</f>
        <v>0</v>
      </c>
      <c r="AO26" s="90">
        <f>IF(AND(ISBLANK(AE26),LEN(AH26)&gt;0),2,1)</f>
        <v>1</v>
      </c>
      <c r="AP26" s="90">
        <f>IF(ISBLANK(AE26),1,IF(ISBLANK(AH26),2,3))</f>
        <v>1</v>
      </c>
      <c r="AR26" s="114">
        <v>5</v>
      </c>
      <c r="AS26" s="4" t="s">
        <v>497</v>
      </c>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37"/>
      <c r="BV26" s="37"/>
      <c r="BW26" s="37"/>
      <c r="BX26" s="37"/>
      <c r="BY26" s="37"/>
      <c r="BZ26" s="37"/>
      <c r="CA26" s="37"/>
      <c r="CB26" s="37"/>
      <c r="CC26" s="37"/>
      <c r="CD26" s="37"/>
      <c r="CE26" s="37"/>
      <c r="CF26" s="37"/>
      <c r="CG26" s="37"/>
      <c r="CH26" s="37"/>
      <c r="CI26" s="37"/>
      <c r="CJ26" s="37"/>
    </row>
    <row r="27" spans="2:88" ht="4.95" customHeight="1" x14ac:dyDescent="0.3">
      <c r="C27" s="6"/>
      <c r="F27" s="12"/>
      <c r="G27" s="12"/>
      <c r="K27" s="109"/>
      <c r="L27" s="109"/>
      <c r="M27" s="109"/>
      <c r="N27" s="41"/>
      <c r="O27" s="41"/>
      <c r="R27" s="109"/>
      <c r="S27" s="109"/>
      <c r="T27" s="109"/>
      <c r="U27" s="41"/>
      <c r="V27" s="41"/>
      <c r="Y27" s="109"/>
      <c r="Z27" s="109"/>
      <c r="AA27" s="109"/>
      <c r="AE27" s="110"/>
      <c r="AH27" s="110"/>
      <c r="AM27" s="75">
        <f t="shared" si="0"/>
        <v>0</v>
      </c>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37"/>
      <c r="BV27" s="37"/>
      <c r="BW27" s="37"/>
      <c r="BX27" s="37"/>
      <c r="BY27" s="37"/>
      <c r="BZ27" s="37"/>
      <c r="CA27" s="37"/>
      <c r="CB27" s="37"/>
      <c r="CC27" s="37"/>
      <c r="CD27" s="37"/>
      <c r="CE27" s="37"/>
      <c r="CF27" s="37"/>
      <c r="CG27" s="37"/>
      <c r="CH27" s="37"/>
      <c r="CI27" s="37"/>
      <c r="CJ27" s="37"/>
    </row>
    <row r="28" spans="2:88" ht="15" customHeight="1" x14ac:dyDescent="0.3">
      <c r="B28" s="224"/>
      <c r="C28" s="224"/>
      <c r="D28" s="224"/>
      <c r="F28" s="224"/>
      <c r="G28" s="224"/>
      <c r="H28" s="224"/>
      <c r="K28" s="223"/>
      <c r="L28" s="223"/>
      <c r="M28" s="223"/>
      <c r="N28" s="175" t="str">
        <f>IF($AQ$10=0,"Units?",IF($AQ$10=1,"ac",IF($AQ$10=2,"sq-ft","Error")))</f>
        <v>Units?</v>
      </c>
      <c r="O28" s="175"/>
      <c r="R28" s="223"/>
      <c r="S28" s="223"/>
      <c r="T28" s="223"/>
      <c r="U28" s="175" t="str">
        <f>IF($AQ$10=0,"Units?",IF($AQ$10=1,"ac",IF($AQ$10=2,"sq-ft","Error")))</f>
        <v>Units?</v>
      </c>
      <c r="V28" s="175"/>
      <c r="Y28" s="223"/>
      <c r="Z28" s="223"/>
      <c r="AA28" s="223"/>
      <c r="AB28" s="175" t="str">
        <f>IF($AQ$10=0,"Units?",IF($AQ$10=1,"ac",IF($AQ$10=2,"sq-ft","Error")))</f>
        <v>Units?</v>
      </c>
      <c r="AC28" s="175"/>
      <c r="AE28" s="54"/>
      <c r="AF28" s="4" t="s">
        <v>120</v>
      </c>
      <c r="AH28" s="54"/>
      <c r="AI28" s="4" t="s">
        <v>121</v>
      </c>
      <c r="AM28" s="90">
        <f>IF(ISBLANK(B28),1,2)</f>
        <v>1</v>
      </c>
      <c r="AN28" s="90">
        <f>IF(AND(ISBLANK(AE28),ISBLANK(AH28)),0,1)</f>
        <v>0</v>
      </c>
      <c r="AO28" s="90">
        <f>IF(AND(ISBLANK(AE28),LEN(AH28)&gt;0),2,1)</f>
        <v>1</v>
      </c>
      <c r="AP28" s="90">
        <f>IF(ISBLANK(AE28),1,IF(ISBLANK(AH28),2,3))</f>
        <v>1</v>
      </c>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37"/>
      <c r="BV28" s="37"/>
      <c r="BW28" s="37"/>
      <c r="BX28" s="37"/>
      <c r="BY28" s="37"/>
      <c r="BZ28" s="37"/>
      <c r="CA28" s="37"/>
      <c r="CB28" s="37"/>
      <c r="CC28" s="37"/>
      <c r="CD28" s="37"/>
      <c r="CE28" s="37"/>
      <c r="CF28" s="37"/>
      <c r="CG28" s="37"/>
      <c r="CH28" s="37"/>
      <c r="CI28" s="37"/>
      <c r="CJ28" s="37"/>
    </row>
    <row r="29" spans="2:88" ht="4.95" customHeight="1" x14ac:dyDescent="0.3">
      <c r="C29" s="6"/>
      <c r="F29" s="12"/>
      <c r="G29" s="12"/>
      <c r="K29" s="109"/>
      <c r="L29" s="109"/>
      <c r="M29" s="109"/>
      <c r="N29" s="41"/>
      <c r="O29" s="41"/>
      <c r="R29" s="109"/>
      <c r="S29" s="109"/>
      <c r="T29" s="109"/>
      <c r="U29" s="41"/>
      <c r="V29" s="41"/>
      <c r="Y29" s="109"/>
      <c r="Z29" s="109"/>
      <c r="AA29" s="109"/>
      <c r="AE29" s="110"/>
      <c r="AH29" s="110"/>
      <c r="AM29" s="75">
        <f t="shared" si="0"/>
        <v>0</v>
      </c>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37"/>
      <c r="BV29" s="37"/>
      <c r="BW29" s="37"/>
      <c r="BX29" s="37"/>
      <c r="BY29" s="37"/>
      <c r="BZ29" s="37"/>
      <c r="CA29" s="37"/>
      <c r="CB29" s="37"/>
      <c r="CC29" s="37"/>
      <c r="CD29" s="37"/>
      <c r="CE29" s="37"/>
      <c r="CF29" s="37"/>
      <c r="CG29" s="37"/>
      <c r="CH29" s="37"/>
      <c r="CI29" s="37"/>
      <c r="CJ29" s="37"/>
    </row>
    <row r="30" spans="2:88" ht="15" customHeight="1" x14ac:dyDescent="0.3">
      <c r="B30" s="224"/>
      <c r="C30" s="224"/>
      <c r="D30" s="224"/>
      <c r="F30" s="224"/>
      <c r="G30" s="224"/>
      <c r="H30" s="224"/>
      <c r="K30" s="223"/>
      <c r="L30" s="223"/>
      <c r="M30" s="223"/>
      <c r="N30" s="175" t="str">
        <f>IF($AQ$10=0,"Units?",IF($AQ$10=1,"ac",IF($AQ$10=2,"sq-ft","Error")))</f>
        <v>Units?</v>
      </c>
      <c r="O30" s="175"/>
      <c r="R30" s="223"/>
      <c r="S30" s="223"/>
      <c r="T30" s="223"/>
      <c r="U30" s="175" t="str">
        <f>IF($AQ$10=0,"Units?",IF($AQ$10=1,"ac",IF($AQ$10=2,"sq-ft","Error")))</f>
        <v>Units?</v>
      </c>
      <c r="V30" s="175"/>
      <c r="Y30" s="223"/>
      <c r="Z30" s="223"/>
      <c r="AA30" s="223"/>
      <c r="AB30" s="175" t="str">
        <f>IF($AQ$10=0,"Units?",IF($AQ$10=1,"ac",IF($AQ$10=2,"sq-ft","Error")))</f>
        <v>Units?</v>
      </c>
      <c r="AC30" s="175"/>
      <c r="AE30" s="54"/>
      <c r="AF30" s="4" t="s">
        <v>120</v>
      </c>
      <c r="AH30" s="54"/>
      <c r="AI30" s="4" t="s">
        <v>121</v>
      </c>
      <c r="AM30" s="90">
        <f>IF(ISBLANK(B30),1,2)</f>
        <v>1</v>
      </c>
      <c r="AN30" s="90">
        <f>IF(AND(ISBLANK(AE30),ISBLANK(AH30)),0,1)</f>
        <v>0</v>
      </c>
      <c r="AO30" s="90">
        <f>IF(AND(ISBLANK(AE30),LEN(AH30)&gt;0),2,1)</f>
        <v>1</v>
      </c>
      <c r="AP30" s="90">
        <f>IF(ISBLANK(AE30),1,IF(ISBLANK(AH30),2,3))</f>
        <v>1</v>
      </c>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37"/>
      <c r="BV30" s="37"/>
      <c r="BW30" s="37"/>
      <c r="BX30" s="37"/>
      <c r="BY30" s="37"/>
      <c r="BZ30" s="37"/>
      <c r="CA30" s="37"/>
      <c r="CB30" s="37"/>
      <c r="CC30" s="37"/>
      <c r="CD30" s="37"/>
      <c r="CE30" s="37"/>
      <c r="CF30" s="37"/>
      <c r="CG30" s="37"/>
      <c r="CH30" s="37"/>
      <c r="CI30" s="37"/>
      <c r="CJ30" s="37"/>
    </row>
    <row r="31" spans="2:88" ht="4.95" customHeight="1" x14ac:dyDescent="0.3">
      <c r="C31" s="6"/>
      <c r="F31" s="12"/>
      <c r="G31" s="12"/>
      <c r="K31" s="109"/>
      <c r="L31" s="109"/>
      <c r="M31" s="109"/>
      <c r="N31" s="41"/>
      <c r="O31" s="41"/>
      <c r="R31" s="109"/>
      <c r="S31" s="109"/>
      <c r="T31" s="109"/>
      <c r="U31" s="41"/>
      <c r="V31" s="41"/>
      <c r="Y31" s="109"/>
      <c r="Z31" s="109"/>
      <c r="AA31" s="109"/>
      <c r="AE31" s="110"/>
      <c r="AH31" s="110"/>
      <c r="AM31" s="75">
        <f t="shared" si="0"/>
        <v>0</v>
      </c>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37"/>
      <c r="BV31" s="37"/>
      <c r="BW31" s="37"/>
      <c r="BX31" s="37"/>
      <c r="BY31" s="37"/>
      <c r="BZ31" s="37"/>
      <c r="CA31" s="37"/>
      <c r="CB31" s="37"/>
      <c r="CC31" s="37"/>
      <c r="CD31" s="37"/>
      <c r="CE31" s="37"/>
      <c r="CF31" s="37"/>
      <c r="CG31" s="37"/>
      <c r="CH31" s="37"/>
      <c r="CI31" s="37"/>
      <c r="CJ31" s="37"/>
    </row>
    <row r="32" spans="2:88" ht="15" customHeight="1" x14ac:dyDescent="0.3">
      <c r="B32" s="224"/>
      <c r="C32" s="224"/>
      <c r="D32" s="224"/>
      <c r="F32" s="224"/>
      <c r="G32" s="224"/>
      <c r="H32" s="224"/>
      <c r="K32" s="223"/>
      <c r="L32" s="223"/>
      <c r="M32" s="223"/>
      <c r="N32" s="175" t="str">
        <f>IF($AQ$10=0,"Units?",IF($AQ$10=1,"ac",IF($AQ$10=2,"sq-ft","Error")))</f>
        <v>Units?</v>
      </c>
      <c r="O32" s="175"/>
      <c r="R32" s="223"/>
      <c r="S32" s="223"/>
      <c r="T32" s="223"/>
      <c r="U32" s="175" t="str">
        <f>IF($AQ$10=0,"Units?",IF($AQ$10=1,"ac",IF($AQ$10=2,"sq-ft","Error")))</f>
        <v>Units?</v>
      </c>
      <c r="V32" s="175"/>
      <c r="Y32" s="223"/>
      <c r="Z32" s="223"/>
      <c r="AA32" s="223"/>
      <c r="AB32" s="175" t="str">
        <f>IF($AQ$10=0,"Units?",IF($AQ$10=1,"ac",IF($AQ$10=2,"sq-ft","Error")))</f>
        <v>Units?</v>
      </c>
      <c r="AC32" s="175"/>
      <c r="AE32" s="54"/>
      <c r="AF32" s="4" t="s">
        <v>120</v>
      </c>
      <c r="AH32" s="54"/>
      <c r="AI32" s="4" t="s">
        <v>121</v>
      </c>
      <c r="AM32" s="90">
        <f>IF(ISBLANK(B32),1,2)</f>
        <v>1</v>
      </c>
      <c r="AN32" s="90">
        <f>IF(AND(ISBLANK(AE32),ISBLANK(AH32)),0,1)</f>
        <v>0</v>
      </c>
      <c r="AO32" s="90">
        <f>IF(AND(ISBLANK(AE32),LEN(AH32)&gt;0),2,1)</f>
        <v>1</v>
      </c>
      <c r="AP32" s="90">
        <f>IF(ISBLANK(AE32),1,IF(ISBLANK(AH32),2,3))</f>
        <v>1</v>
      </c>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37"/>
      <c r="BV32" s="37"/>
      <c r="BW32" s="37"/>
      <c r="BX32" s="37"/>
      <c r="BY32" s="37"/>
      <c r="BZ32" s="37"/>
      <c r="CA32" s="37"/>
      <c r="CB32" s="37"/>
      <c r="CC32" s="37"/>
      <c r="CD32" s="37"/>
      <c r="CE32" s="37"/>
      <c r="CF32" s="37"/>
      <c r="CG32" s="37"/>
      <c r="CH32" s="37"/>
      <c r="CI32" s="37"/>
      <c r="CJ32" s="37"/>
    </row>
    <row r="33" spans="2:88" ht="4.95" customHeight="1" x14ac:dyDescent="0.3">
      <c r="C33" s="6"/>
      <c r="F33" s="12"/>
      <c r="G33" s="12"/>
      <c r="K33" s="109"/>
      <c r="L33" s="109"/>
      <c r="M33" s="109"/>
      <c r="N33" s="41"/>
      <c r="O33" s="41"/>
      <c r="R33" s="109"/>
      <c r="S33" s="109"/>
      <c r="T33" s="109"/>
      <c r="U33" s="41"/>
      <c r="V33" s="41"/>
      <c r="Y33" s="109"/>
      <c r="Z33" s="109"/>
      <c r="AA33" s="109"/>
      <c r="AE33" s="110"/>
      <c r="AH33" s="110"/>
      <c r="AM33" s="75">
        <f t="shared" si="0"/>
        <v>0</v>
      </c>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37"/>
      <c r="BV33" s="37"/>
      <c r="BW33" s="37"/>
      <c r="BX33" s="37"/>
      <c r="BY33" s="37"/>
      <c r="BZ33" s="37"/>
      <c r="CA33" s="37"/>
      <c r="CB33" s="37"/>
      <c r="CC33" s="37"/>
      <c r="CD33" s="37"/>
      <c r="CE33" s="37"/>
      <c r="CF33" s="37"/>
      <c r="CG33" s="37"/>
      <c r="CH33" s="37"/>
      <c r="CI33" s="37"/>
      <c r="CJ33" s="37"/>
    </row>
    <row r="34" spans="2:88" ht="15" customHeight="1" x14ac:dyDescent="0.3">
      <c r="B34" s="224"/>
      <c r="C34" s="224"/>
      <c r="D34" s="224"/>
      <c r="F34" s="224"/>
      <c r="G34" s="224"/>
      <c r="H34" s="224"/>
      <c r="K34" s="223"/>
      <c r="L34" s="223"/>
      <c r="M34" s="223"/>
      <c r="N34" s="175" t="str">
        <f>IF($AQ$10=0,"Units?",IF($AQ$10=1,"ac",IF($AQ$10=2,"sq-ft","Error")))</f>
        <v>Units?</v>
      </c>
      <c r="O34" s="175"/>
      <c r="R34" s="223"/>
      <c r="S34" s="223"/>
      <c r="T34" s="223"/>
      <c r="U34" s="175" t="str">
        <f>IF($AQ$10=0,"Units?",IF($AQ$10=1,"ac",IF($AQ$10=2,"sq-ft","Error")))</f>
        <v>Units?</v>
      </c>
      <c r="V34" s="175"/>
      <c r="Y34" s="223"/>
      <c r="Z34" s="223"/>
      <c r="AA34" s="223"/>
      <c r="AB34" s="175" t="str">
        <f>IF($AQ$10=0,"Units?",IF($AQ$10=1,"ac",IF($AQ$10=2,"sq-ft","Error")))</f>
        <v>Units?</v>
      </c>
      <c r="AC34" s="175"/>
      <c r="AE34" s="54"/>
      <c r="AF34" s="4" t="s">
        <v>120</v>
      </c>
      <c r="AH34" s="54"/>
      <c r="AI34" s="4" t="s">
        <v>121</v>
      </c>
      <c r="AM34" s="90">
        <f>IF(ISBLANK(B34),1,2)</f>
        <v>1</v>
      </c>
      <c r="AN34" s="90">
        <f>IF(AND(ISBLANK(AE34),ISBLANK(AH34)),0,1)</f>
        <v>0</v>
      </c>
      <c r="AO34" s="90">
        <f>IF(AND(ISBLANK(AE34),LEN(AH34)&gt;0),2,1)</f>
        <v>1</v>
      </c>
      <c r="AP34" s="90">
        <f>IF(ISBLANK(AE34),1,IF(ISBLANK(AH34),2,3))</f>
        <v>1</v>
      </c>
      <c r="AR34" s="37"/>
      <c r="AS34" s="47"/>
      <c r="AT34" s="104"/>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37"/>
      <c r="BV34" s="37"/>
      <c r="BW34" s="37"/>
      <c r="BX34" s="37"/>
      <c r="BY34" s="37"/>
      <c r="BZ34" s="37"/>
      <c r="CA34" s="37"/>
      <c r="CB34" s="37"/>
      <c r="CC34" s="37"/>
      <c r="CD34" s="37"/>
      <c r="CE34" s="37"/>
      <c r="CF34" s="37"/>
      <c r="CG34" s="37"/>
      <c r="CH34" s="37"/>
      <c r="CI34" s="37"/>
      <c r="CJ34" s="37"/>
    </row>
    <row r="35" spans="2:88" ht="4.95" customHeight="1" x14ac:dyDescent="0.3">
      <c r="C35" s="6"/>
      <c r="F35" s="12"/>
      <c r="G35" s="12"/>
      <c r="K35" s="109"/>
      <c r="L35" s="109"/>
      <c r="M35" s="109"/>
      <c r="N35" s="41"/>
      <c r="O35" s="41"/>
      <c r="R35" s="109"/>
      <c r="S35" s="109"/>
      <c r="T35" s="109"/>
      <c r="U35" s="41"/>
      <c r="V35" s="41"/>
      <c r="Y35" s="109"/>
      <c r="Z35" s="109"/>
      <c r="AA35" s="109"/>
      <c r="AE35" s="110"/>
      <c r="AH35" s="110"/>
      <c r="AM35" s="75">
        <f t="shared" si="0"/>
        <v>0</v>
      </c>
      <c r="AR35" s="37"/>
      <c r="AS35" s="47"/>
      <c r="AT35" s="104"/>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37"/>
      <c r="BV35" s="37"/>
      <c r="BW35" s="37"/>
      <c r="BX35" s="37"/>
      <c r="BY35" s="37"/>
      <c r="BZ35" s="37"/>
      <c r="CA35" s="37"/>
      <c r="CB35" s="37"/>
      <c r="CC35" s="37"/>
      <c r="CD35" s="37"/>
      <c r="CE35" s="37"/>
      <c r="CF35" s="37"/>
      <c r="CG35" s="37"/>
      <c r="CH35" s="37"/>
      <c r="CI35" s="37"/>
      <c r="CJ35" s="37"/>
    </row>
    <row r="36" spans="2:88" ht="15" customHeight="1" x14ac:dyDescent="0.3">
      <c r="B36" s="224"/>
      <c r="C36" s="224"/>
      <c r="D36" s="224"/>
      <c r="F36" s="224"/>
      <c r="G36" s="224"/>
      <c r="H36" s="224"/>
      <c r="K36" s="223"/>
      <c r="L36" s="223"/>
      <c r="M36" s="223"/>
      <c r="N36" s="175" t="str">
        <f>IF($AQ$10=0,"Units?",IF($AQ$10=1,"ac",IF($AQ$10=2,"sq-ft","Error")))</f>
        <v>Units?</v>
      </c>
      <c r="O36" s="175"/>
      <c r="R36" s="223"/>
      <c r="S36" s="223"/>
      <c r="T36" s="223"/>
      <c r="U36" s="175" t="str">
        <f>IF($AQ$10=0,"Units?",IF($AQ$10=1,"ac",IF($AQ$10=2,"sq-ft","Error")))</f>
        <v>Units?</v>
      </c>
      <c r="V36" s="175"/>
      <c r="Y36" s="223"/>
      <c r="Z36" s="223"/>
      <c r="AA36" s="223"/>
      <c r="AB36" s="175" t="str">
        <f>IF($AQ$10=0,"Units?",IF($AQ$10=1,"ac",IF($AQ$10=2,"sq-ft","Error")))</f>
        <v>Units?</v>
      </c>
      <c r="AC36" s="175"/>
      <c r="AE36" s="54"/>
      <c r="AF36" s="4" t="s">
        <v>120</v>
      </c>
      <c r="AH36" s="54"/>
      <c r="AI36" s="4" t="s">
        <v>121</v>
      </c>
      <c r="AM36" s="90">
        <f>IF(ISBLANK(B36),1,2)</f>
        <v>1</v>
      </c>
      <c r="AN36" s="90">
        <f>IF(AND(ISBLANK(AE36),ISBLANK(AH36)),0,1)</f>
        <v>0</v>
      </c>
      <c r="AO36" s="90">
        <f>IF(AND(ISBLANK(AE36),LEN(AH36)&gt;0),2,1)</f>
        <v>1</v>
      </c>
      <c r="AP36" s="90">
        <f>IF(ISBLANK(AE36),1,IF(ISBLANK(AH36),2,3))</f>
        <v>1</v>
      </c>
      <c r="AR36" s="47"/>
      <c r="AS36" s="107"/>
      <c r="AT36" s="104"/>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37"/>
      <c r="BV36" s="37"/>
      <c r="BW36" s="37"/>
      <c r="BX36" s="37"/>
      <c r="BY36" s="37"/>
      <c r="BZ36" s="37"/>
      <c r="CA36" s="37"/>
      <c r="CB36" s="37"/>
      <c r="CC36" s="37"/>
      <c r="CD36" s="37"/>
      <c r="CE36" s="37"/>
      <c r="CF36" s="37"/>
      <c r="CG36" s="37"/>
      <c r="CH36" s="37"/>
      <c r="CI36" s="37"/>
      <c r="CJ36" s="37"/>
    </row>
    <row r="37" spans="2:88" ht="4.95" customHeight="1" x14ac:dyDescent="0.3">
      <c r="C37" s="6"/>
      <c r="F37" s="12"/>
      <c r="G37" s="12"/>
      <c r="K37" s="109"/>
      <c r="L37" s="109"/>
      <c r="M37" s="109"/>
      <c r="N37" s="41"/>
      <c r="O37" s="41"/>
      <c r="R37" s="109"/>
      <c r="S37" s="109"/>
      <c r="T37" s="109"/>
      <c r="U37" s="41"/>
      <c r="V37" s="41"/>
      <c r="Y37" s="109"/>
      <c r="Z37" s="109"/>
      <c r="AA37" s="109"/>
      <c r="AE37" s="110"/>
      <c r="AH37" s="110"/>
      <c r="AM37" s="75">
        <f t="shared" si="0"/>
        <v>0</v>
      </c>
      <c r="AR37" s="47"/>
      <c r="AS37" s="107"/>
      <c r="AT37" s="104"/>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37"/>
      <c r="BV37" s="37"/>
      <c r="BW37" s="37"/>
      <c r="BX37" s="37"/>
      <c r="BY37" s="37"/>
      <c r="BZ37" s="37"/>
      <c r="CA37" s="37"/>
      <c r="CB37" s="37"/>
      <c r="CC37" s="37"/>
      <c r="CD37" s="37"/>
      <c r="CE37" s="37"/>
      <c r="CF37" s="37"/>
      <c r="CG37" s="37"/>
      <c r="CH37" s="37"/>
      <c r="CI37" s="37"/>
      <c r="CJ37" s="37"/>
    </row>
    <row r="38" spans="2:88" ht="15" customHeight="1" x14ac:dyDescent="0.3">
      <c r="B38" s="224"/>
      <c r="C38" s="224"/>
      <c r="D38" s="224"/>
      <c r="F38" s="224"/>
      <c r="G38" s="224"/>
      <c r="H38" s="224"/>
      <c r="K38" s="223"/>
      <c r="L38" s="223"/>
      <c r="M38" s="223"/>
      <c r="N38" s="175" t="str">
        <f>IF($AQ$10=0,"Units?",IF($AQ$10=1,"ac",IF($AQ$10=2,"sq-ft","Error")))</f>
        <v>Units?</v>
      </c>
      <c r="O38" s="175"/>
      <c r="R38" s="223"/>
      <c r="S38" s="223"/>
      <c r="T38" s="223"/>
      <c r="U38" s="175" t="str">
        <f>IF($AQ$10=0,"Units?",IF($AQ$10=1,"ac",IF($AQ$10=2,"sq-ft","Error")))</f>
        <v>Units?</v>
      </c>
      <c r="V38" s="175"/>
      <c r="Y38" s="223"/>
      <c r="Z38" s="223"/>
      <c r="AA38" s="223"/>
      <c r="AB38" s="175" t="str">
        <f>IF($AQ$10=0,"Units?",IF($AQ$10=1,"ac",IF($AQ$10=2,"sq-ft","Error")))</f>
        <v>Units?</v>
      </c>
      <c r="AC38" s="175"/>
      <c r="AE38" s="54"/>
      <c r="AF38" s="4" t="s">
        <v>120</v>
      </c>
      <c r="AH38" s="54"/>
      <c r="AI38" s="4" t="s">
        <v>121</v>
      </c>
      <c r="AM38" s="90">
        <f>IF(ISBLANK(B38),1,2)</f>
        <v>1</v>
      </c>
      <c r="AN38" s="90">
        <f>IF(AND(ISBLANK(AE38),ISBLANK(AH38)),0,1)</f>
        <v>0</v>
      </c>
      <c r="AO38" s="90">
        <f>IF(AND(ISBLANK(AE38),LEN(AH38)&gt;0),2,1)</f>
        <v>1</v>
      </c>
      <c r="AP38" s="90">
        <f>IF(ISBLANK(AE38),1,IF(ISBLANK(AH38),2,3))</f>
        <v>1</v>
      </c>
      <c r="AR38" s="37"/>
      <c r="AS38" s="47"/>
      <c r="AT38" s="104"/>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37"/>
      <c r="BV38" s="37"/>
      <c r="BW38" s="37"/>
      <c r="BX38" s="37"/>
      <c r="BY38" s="37"/>
      <c r="BZ38" s="37"/>
      <c r="CA38" s="37"/>
      <c r="CB38" s="37"/>
      <c r="CC38" s="37"/>
      <c r="CD38" s="37"/>
      <c r="CE38" s="37"/>
      <c r="CF38" s="37"/>
      <c r="CG38" s="37"/>
      <c r="CH38" s="37"/>
      <c r="CI38" s="37"/>
      <c r="CJ38" s="37"/>
    </row>
    <row r="39" spans="2:88" ht="4.95" customHeight="1" x14ac:dyDescent="0.3">
      <c r="C39" s="6"/>
      <c r="F39" s="12"/>
      <c r="G39" s="12"/>
      <c r="K39" s="109"/>
      <c r="L39" s="109"/>
      <c r="M39" s="109"/>
      <c r="N39" s="41"/>
      <c r="O39" s="41"/>
      <c r="R39" s="109"/>
      <c r="S39" s="109"/>
      <c r="T39" s="109"/>
      <c r="U39" s="41"/>
      <c r="V39" s="41"/>
      <c r="Y39" s="109"/>
      <c r="Z39" s="109"/>
      <c r="AA39" s="109"/>
      <c r="AE39" s="110"/>
      <c r="AH39" s="110"/>
      <c r="AM39" s="75">
        <f t="shared" si="0"/>
        <v>0</v>
      </c>
      <c r="AR39" s="37"/>
      <c r="AS39" s="47"/>
      <c r="AT39" s="104"/>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37"/>
      <c r="BV39" s="37"/>
      <c r="BW39" s="37"/>
      <c r="BX39" s="37"/>
      <c r="BY39" s="37"/>
      <c r="BZ39" s="37"/>
      <c r="CA39" s="37"/>
      <c r="CB39" s="37"/>
      <c r="CC39" s="37"/>
      <c r="CD39" s="37"/>
      <c r="CE39" s="37"/>
      <c r="CF39" s="37"/>
      <c r="CG39" s="37"/>
      <c r="CH39" s="37"/>
      <c r="CI39" s="37"/>
      <c r="CJ39" s="37"/>
    </row>
    <row r="40" spans="2:88" ht="15" customHeight="1" x14ac:dyDescent="0.3">
      <c r="B40" s="224"/>
      <c r="C40" s="224"/>
      <c r="D40" s="224"/>
      <c r="F40" s="224"/>
      <c r="G40" s="224"/>
      <c r="H40" s="224"/>
      <c r="K40" s="223"/>
      <c r="L40" s="223"/>
      <c r="M40" s="223"/>
      <c r="N40" s="175" t="str">
        <f>IF($AQ$10=0,"Units?",IF($AQ$10=1,"ac",IF($AQ$10=2,"sq-ft","Error")))</f>
        <v>Units?</v>
      </c>
      <c r="O40" s="175"/>
      <c r="R40" s="223"/>
      <c r="S40" s="223"/>
      <c r="T40" s="223"/>
      <c r="U40" s="175" t="str">
        <f>IF($AQ$10=0,"Units?",IF($AQ$10=1,"ac",IF($AQ$10=2,"sq-ft","Error")))</f>
        <v>Units?</v>
      </c>
      <c r="V40" s="175"/>
      <c r="Y40" s="223"/>
      <c r="Z40" s="223"/>
      <c r="AA40" s="223"/>
      <c r="AB40" s="175" t="str">
        <f>IF($AQ$10=0,"Units?",IF($AQ$10=1,"ac",IF($AQ$10=2,"sq-ft","Error")))</f>
        <v>Units?</v>
      </c>
      <c r="AC40" s="175"/>
      <c r="AE40" s="54"/>
      <c r="AF40" s="4" t="s">
        <v>120</v>
      </c>
      <c r="AH40" s="54"/>
      <c r="AI40" s="4" t="s">
        <v>121</v>
      </c>
      <c r="AM40" s="90">
        <f>IF(ISBLANK(B40),1,2)</f>
        <v>1</v>
      </c>
      <c r="AN40" s="90">
        <f>IF(AND(ISBLANK(AE40),ISBLANK(AH40)),0,1)</f>
        <v>0</v>
      </c>
      <c r="AO40" s="90">
        <f>IF(AND(ISBLANK(AE40),LEN(AH40)&gt;0),2,1)</f>
        <v>1</v>
      </c>
      <c r="AP40" s="90">
        <f>IF(ISBLANK(AE40),1,IF(ISBLANK(AH40),2,3))</f>
        <v>1</v>
      </c>
      <c r="AR40" s="37"/>
      <c r="AS40" s="47"/>
      <c r="AT40" s="104"/>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37"/>
      <c r="BV40" s="37"/>
      <c r="BW40" s="37"/>
      <c r="BX40" s="37"/>
      <c r="BY40" s="37"/>
      <c r="BZ40" s="37"/>
      <c r="CA40" s="37"/>
      <c r="CB40" s="37"/>
      <c r="CC40" s="37"/>
      <c r="CD40" s="37"/>
      <c r="CE40" s="37"/>
      <c r="CF40" s="37"/>
      <c r="CG40" s="37"/>
      <c r="CH40" s="37"/>
      <c r="CI40" s="37"/>
      <c r="CJ40" s="37"/>
    </row>
    <row r="41" spans="2:88" ht="4.95" customHeight="1" x14ac:dyDescent="0.3">
      <c r="C41" s="6"/>
      <c r="F41" s="12"/>
      <c r="G41" s="12"/>
      <c r="K41" s="109"/>
      <c r="L41" s="109"/>
      <c r="M41" s="109"/>
      <c r="N41" s="41"/>
      <c r="O41" s="41"/>
      <c r="R41" s="109"/>
      <c r="S41" s="109"/>
      <c r="T41" s="109"/>
      <c r="U41" s="41"/>
      <c r="V41" s="41"/>
      <c r="Y41" s="109"/>
      <c r="Z41" s="109"/>
      <c r="AA41" s="109"/>
      <c r="AE41" s="110"/>
      <c r="AH41" s="110"/>
      <c r="AM41" s="75">
        <f t="shared" si="0"/>
        <v>0</v>
      </c>
      <c r="AR41" s="37"/>
      <c r="AS41" s="47"/>
      <c r="AT41" s="104"/>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37"/>
      <c r="BV41" s="37"/>
      <c r="BW41" s="37"/>
      <c r="BX41" s="37"/>
      <c r="BY41" s="37"/>
      <c r="BZ41" s="37"/>
      <c r="CA41" s="37"/>
      <c r="CB41" s="37"/>
      <c r="CC41" s="37"/>
      <c r="CD41" s="37"/>
      <c r="CE41" s="37"/>
      <c r="CF41" s="37"/>
      <c r="CG41" s="37"/>
      <c r="CH41" s="37"/>
      <c r="CI41" s="37"/>
      <c r="CJ41" s="37"/>
    </row>
    <row r="42" spans="2:88" ht="15" customHeight="1" x14ac:dyDescent="0.3">
      <c r="B42" s="224"/>
      <c r="C42" s="224"/>
      <c r="D42" s="224"/>
      <c r="F42" s="224"/>
      <c r="G42" s="224"/>
      <c r="H42" s="224"/>
      <c r="K42" s="223"/>
      <c r="L42" s="223"/>
      <c r="M42" s="223"/>
      <c r="N42" s="175" t="str">
        <f>IF($AQ$10=0,"Units?",IF($AQ$10=1,"ac",IF($AQ$10=2,"sq-ft","Error")))</f>
        <v>Units?</v>
      </c>
      <c r="O42" s="175"/>
      <c r="R42" s="223"/>
      <c r="S42" s="223"/>
      <c r="T42" s="223"/>
      <c r="U42" s="175" t="str">
        <f>IF($AQ$10=0,"Units?",IF($AQ$10=1,"ac",IF($AQ$10=2,"sq-ft","Error")))</f>
        <v>Units?</v>
      </c>
      <c r="V42" s="175"/>
      <c r="Y42" s="223"/>
      <c r="Z42" s="223"/>
      <c r="AA42" s="223"/>
      <c r="AB42" s="175" t="str">
        <f>IF($AQ$10=0,"Units?",IF($AQ$10=1,"ac",IF($AQ$10=2,"sq-ft","Error")))</f>
        <v>Units?</v>
      </c>
      <c r="AC42" s="175"/>
      <c r="AE42" s="54"/>
      <c r="AF42" s="4" t="s">
        <v>120</v>
      </c>
      <c r="AH42" s="54"/>
      <c r="AI42" s="4" t="s">
        <v>121</v>
      </c>
      <c r="AM42" s="90">
        <f>IF(ISBLANK(B42),1,2)</f>
        <v>1</v>
      </c>
      <c r="AN42" s="90">
        <f>IF(AND(ISBLANK(AE42),ISBLANK(AH42)),0,1)</f>
        <v>0</v>
      </c>
      <c r="AO42" s="90">
        <f>IF(AND(ISBLANK(AE42),LEN(AH42)&gt;0),2,1)</f>
        <v>1</v>
      </c>
      <c r="AP42" s="90">
        <f>IF(ISBLANK(AE42),1,IF(ISBLANK(AH42),2,3))</f>
        <v>1</v>
      </c>
      <c r="AR42" s="3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37"/>
      <c r="BV42" s="37"/>
      <c r="BW42" s="37"/>
      <c r="BX42" s="37"/>
      <c r="BY42" s="37"/>
      <c r="BZ42" s="37"/>
      <c r="CA42" s="37"/>
      <c r="CB42" s="37"/>
      <c r="CC42" s="37"/>
      <c r="CD42" s="37"/>
      <c r="CE42" s="37"/>
      <c r="CF42" s="37"/>
      <c r="CG42" s="37"/>
      <c r="CH42" s="37"/>
      <c r="CI42" s="37"/>
      <c r="CJ42" s="37"/>
    </row>
    <row r="43" spans="2:88" ht="4.95" customHeight="1" x14ac:dyDescent="0.3">
      <c r="C43" s="6"/>
      <c r="F43" s="12"/>
      <c r="G43" s="12"/>
      <c r="K43" s="109"/>
      <c r="L43" s="109"/>
      <c r="M43" s="109"/>
      <c r="N43" s="41"/>
      <c r="O43" s="41"/>
      <c r="R43" s="109"/>
      <c r="S43" s="109"/>
      <c r="T43" s="109"/>
      <c r="U43" s="41"/>
      <c r="V43" s="41"/>
      <c r="Y43" s="109"/>
      <c r="Z43" s="109"/>
      <c r="AA43" s="109"/>
      <c r="AE43" s="110"/>
      <c r="AH43" s="110"/>
      <c r="AM43" s="75">
        <f t="shared" si="0"/>
        <v>0</v>
      </c>
      <c r="AR43" s="3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37"/>
      <c r="BV43" s="37"/>
      <c r="BW43" s="37"/>
      <c r="BX43" s="37"/>
      <c r="BY43" s="37"/>
      <c r="BZ43" s="37"/>
      <c r="CA43" s="37"/>
      <c r="CB43" s="37"/>
      <c r="CC43" s="37"/>
      <c r="CD43" s="37"/>
      <c r="CE43" s="37"/>
      <c r="CF43" s="37"/>
      <c r="CG43" s="37"/>
      <c r="CH43" s="37"/>
      <c r="CI43" s="37"/>
      <c r="CJ43" s="37"/>
    </row>
    <row r="44" spans="2:88" ht="15" customHeight="1" x14ac:dyDescent="0.3">
      <c r="B44" s="224"/>
      <c r="C44" s="224"/>
      <c r="D44" s="224"/>
      <c r="F44" s="224"/>
      <c r="G44" s="224"/>
      <c r="H44" s="224"/>
      <c r="K44" s="223"/>
      <c r="L44" s="223"/>
      <c r="M44" s="223"/>
      <c r="N44" s="175" t="str">
        <f>IF($AQ$10=0,"Units?",IF($AQ$10=1,"ac",IF($AQ$10=2,"sq-ft","Error")))</f>
        <v>Units?</v>
      </c>
      <c r="O44" s="175"/>
      <c r="R44" s="223"/>
      <c r="S44" s="223"/>
      <c r="T44" s="223"/>
      <c r="U44" s="175" t="str">
        <f>IF($AQ$10=0,"Units?",IF($AQ$10=1,"ac",IF($AQ$10=2,"sq-ft","Error")))</f>
        <v>Units?</v>
      </c>
      <c r="V44" s="175"/>
      <c r="Y44" s="223"/>
      <c r="Z44" s="223"/>
      <c r="AA44" s="223"/>
      <c r="AB44" s="175" t="str">
        <f>IF($AQ$10=0,"Units?",IF($AQ$10=1,"ac",IF($AQ$10=2,"sq-ft","Error")))</f>
        <v>Units?</v>
      </c>
      <c r="AC44" s="175"/>
      <c r="AE44" s="54"/>
      <c r="AF44" s="4" t="s">
        <v>120</v>
      </c>
      <c r="AH44" s="54"/>
      <c r="AI44" s="4" t="s">
        <v>121</v>
      </c>
      <c r="AM44" s="90">
        <f>IF(ISBLANK(B44),1,2)</f>
        <v>1</v>
      </c>
      <c r="AN44" s="90">
        <f>IF(AND(ISBLANK(AE44),ISBLANK(AH44)),0,1)</f>
        <v>0</v>
      </c>
      <c r="AO44" s="90">
        <f>IF(AND(ISBLANK(AE44),LEN(AH44)&gt;0),2,1)</f>
        <v>1</v>
      </c>
      <c r="AP44" s="90">
        <f>IF(ISBLANK(AE44),1,IF(ISBLANK(AH44),2,3))</f>
        <v>1</v>
      </c>
      <c r="AR44" s="37"/>
      <c r="AS44" s="47"/>
      <c r="AT44" s="104"/>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37"/>
      <c r="BV44" s="37"/>
      <c r="BW44" s="37"/>
      <c r="BX44" s="37"/>
      <c r="BY44" s="37"/>
      <c r="BZ44" s="37"/>
      <c r="CA44" s="37"/>
      <c r="CB44" s="37"/>
      <c r="CC44" s="37"/>
      <c r="CD44" s="37"/>
      <c r="CE44" s="37"/>
      <c r="CF44" s="37"/>
      <c r="CG44" s="37"/>
      <c r="CH44" s="37"/>
      <c r="CI44" s="37"/>
      <c r="CJ44" s="37"/>
    </row>
    <row r="45" spans="2:88" ht="4.95" customHeight="1" x14ac:dyDescent="0.3">
      <c r="C45" s="6"/>
      <c r="F45" s="12"/>
      <c r="G45" s="12"/>
      <c r="K45" s="109"/>
      <c r="L45" s="109"/>
      <c r="M45" s="109"/>
      <c r="N45" s="41"/>
      <c r="O45" s="41"/>
      <c r="R45" s="109"/>
      <c r="S45" s="109"/>
      <c r="T45" s="109"/>
      <c r="U45" s="41"/>
      <c r="V45" s="41"/>
      <c r="Y45" s="109"/>
      <c r="Z45" s="109"/>
      <c r="AA45" s="109"/>
      <c r="AE45" s="110"/>
      <c r="AH45" s="110"/>
      <c r="AM45" s="75">
        <f t="shared" si="0"/>
        <v>0</v>
      </c>
      <c r="AR45" s="37"/>
      <c r="AS45" s="47"/>
      <c r="AT45" s="104"/>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37"/>
      <c r="BV45" s="37"/>
      <c r="BW45" s="37"/>
      <c r="BX45" s="37"/>
      <c r="BY45" s="37"/>
      <c r="BZ45" s="37"/>
      <c r="CA45" s="37"/>
      <c r="CB45" s="37"/>
      <c r="CC45" s="37"/>
      <c r="CD45" s="37"/>
      <c r="CE45" s="37"/>
      <c r="CF45" s="37"/>
      <c r="CG45" s="37"/>
      <c r="CH45" s="37"/>
      <c r="CI45" s="37"/>
      <c r="CJ45" s="37"/>
    </row>
    <row r="46" spans="2:88" ht="15" customHeight="1" x14ac:dyDescent="0.3">
      <c r="B46" s="224"/>
      <c r="C46" s="224"/>
      <c r="D46" s="224"/>
      <c r="F46" s="224"/>
      <c r="G46" s="224"/>
      <c r="H46" s="224"/>
      <c r="K46" s="223"/>
      <c r="L46" s="223"/>
      <c r="M46" s="223"/>
      <c r="N46" s="175" t="str">
        <f>IF($AQ$10=0,"Units?",IF($AQ$10=1,"ac",IF($AQ$10=2,"sq-ft","Error")))</f>
        <v>Units?</v>
      </c>
      <c r="O46" s="175"/>
      <c r="R46" s="223"/>
      <c r="S46" s="223"/>
      <c r="T46" s="223"/>
      <c r="U46" s="175" t="str">
        <f>IF($AQ$10=0,"Units?",IF($AQ$10=1,"ac",IF($AQ$10=2,"sq-ft","Error")))</f>
        <v>Units?</v>
      </c>
      <c r="V46" s="175"/>
      <c r="Y46" s="223"/>
      <c r="Z46" s="223"/>
      <c r="AA46" s="223"/>
      <c r="AB46" s="175" t="str">
        <f>IF($AQ$10=0,"Units?",IF($AQ$10=1,"ac",IF($AQ$10=2,"sq-ft","Error")))</f>
        <v>Units?</v>
      </c>
      <c r="AC46" s="175"/>
      <c r="AE46" s="54"/>
      <c r="AF46" s="4" t="s">
        <v>120</v>
      </c>
      <c r="AH46" s="54"/>
      <c r="AI46" s="4" t="s">
        <v>121</v>
      </c>
      <c r="AM46" s="90">
        <f>IF(ISBLANK(B46),1,2)</f>
        <v>1</v>
      </c>
      <c r="AN46" s="90">
        <f>IF(AND(ISBLANK(AE46),ISBLANK(AH46)),0,1)</f>
        <v>0</v>
      </c>
      <c r="AO46" s="90">
        <f>IF(AND(ISBLANK(AE46),LEN(AH46)&gt;0),2,1)</f>
        <v>1</v>
      </c>
      <c r="AP46" s="90">
        <f>IF(ISBLANK(AE46),1,IF(ISBLANK(AH46),2,3))</f>
        <v>1</v>
      </c>
      <c r="AR46" s="37"/>
      <c r="AS46" s="47"/>
      <c r="AT46" s="104"/>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37"/>
      <c r="BV46" s="37"/>
      <c r="BW46" s="37"/>
      <c r="BX46" s="37"/>
      <c r="BY46" s="37"/>
      <c r="BZ46" s="37"/>
      <c r="CA46" s="37"/>
      <c r="CB46" s="37"/>
      <c r="CC46" s="37"/>
      <c r="CD46" s="37"/>
      <c r="CE46" s="37"/>
      <c r="CF46" s="37"/>
      <c r="CG46" s="37"/>
      <c r="CH46" s="37"/>
      <c r="CI46" s="37"/>
      <c r="CJ46" s="37"/>
    </row>
    <row r="47" spans="2:88" ht="4.95" customHeight="1" x14ac:dyDescent="0.3">
      <c r="C47" s="6"/>
      <c r="F47" s="12"/>
      <c r="G47" s="12"/>
      <c r="K47" s="109"/>
      <c r="L47" s="109"/>
      <c r="M47" s="109"/>
      <c r="N47" s="41"/>
      <c r="O47" s="41"/>
      <c r="R47" s="109"/>
      <c r="S47" s="109"/>
      <c r="T47" s="109"/>
      <c r="U47" s="41"/>
      <c r="V47" s="41"/>
      <c r="Y47" s="109"/>
      <c r="Z47" s="109"/>
      <c r="AA47" s="109"/>
      <c r="AE47" s="110"/>
      <c r="AH47" s="110"/>
      <c r="AM47" s="75">
        <f t="shared" si="0"/>
        <v>0</v>
      </c>
      <c r="AR47" s="37"/>
      <c r="AS47" s="47"/>
      <c r="AT47" s="104"/>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37"/>
      <c r="BV47" s="37"/>
      <c r="BW47" s="37"/>
      <c r="BX47" s="37"/>
      <c r="BY47" s="37"/>
      <c r="BZ47" s="37"/>
      <c r="CA47" s="37"/>
      <c r="CB47" s="37"/>
      <c r="CC47" s="37"/>
      <c r="CD47" s="37"/>
      <c r="CE47" s="37"/>
      <c r="CF47" s="37"/>
      <c r="CG47" s="37"/>
      <c r="CH47" s="37"/>
      <c r="CI47" s="37"/>
      <c r="CJ47" s="37"/>
    </row>
    <row r="48" spans="2:88" ht="15" customHeight="1" x14ac:dyDescent="0.3">
      <c r="B48" s="224"/>
      <c r="C48" s="224"/>
      <c r="D48" s="224"/>
      <c r="F48" s="224"/>
      <c r="G48" s="224"/>
      <c r="H48" s="224"/>
      <c r="K48" s="223"/>
      <c r="L48" s="223"/>
      <c r="M48" s="223"/>
      <c r="N48" s="175" t="str">
        <f>IF($AQ$10=0,"Units?",IF($AQ$10=1,"ac",IF($AQ$10=2,"sq-ft","Error")))</f>
        <v>Units?</v>
      </c>
      <c r="O48" s="175"/>
      <c r="R48" s="223"/>
      <c r="S48" s="223"/>
      <c r="T48" s="223"/>
      <c r="U48" s="175" t="str">
        <f>IF($AQ$10=0,"Units?",IF($AQ$10=1,"ac",IF($AQ$10=2,"sq-ft","Error")))</f>
        <v>Units?</v>
      </c>
      <c r="V48" s="175"/>
      <c r="Y48" s="223"/>
      <c r="Z48" s="223"/>
      <c r="AA48" s="223"/>
      <c r="AB48" s="175" t="str">
        <f>IF($AQ$10=0,"Units?",IF($AQ$10=1,"ac",IF($AQ$10=2,"sq-ft","Error")))</f>
        <v>Units?</v>
      </c>
      <c r="AC48" s="175"/>
      <c r="AE48" s="54"/>
      <c r="AF48" s="4" t="s">
        <v>120</v>
      </c>
      <c r="AH48" s="54"/>
      <c r="AI48" s="4" t="s">
        <v>121</v>
      </c>
      <c r="AM48" s="90">
        <f>IF(ISBLANK(B48),1,2)</f>
        <v>1</v>
      </c>
      <c r="AN48" s="90">
        <f>IF(AND(ISBLANK(AE48),ISBLANK(AH48)),0,1)</f>
        <v>0</v>
      </c>
      <c r="AO48" s="90">
        <f>IF(AND(ISBLANK(AE48),LEN(AH48)&gt;0),2,1)</f>
        <v>1</v>
      </c>
      <c r="AP48" s="90">
        <f>IF(ISBLANK(AE48),1,IF(ISBLANK(AH48),2,3))</f>
        <v>1</v>
      </c>
      <c r="AR48" s="37"/>
      <c r="AS48" s="47"/>
      <c r="AT48" s="104"/>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37"/>
      <c r="BV48" s="37"/>
      <c r="BW48" s="37"/>
      <c r="BX48" s="37"/>
      <c r="BY48" s="37"/>
      <c r="BZ48" s="37"/>
      <c r="CA48" s="37"/>
      <c r="CB48" s="37"/>
      <c r="CC48" s="37"/>
      <c r="CD48" s="37"/>
      <c r="CE48" s="37"/>
      <c r="CF48" s="37"/>
      <c r="CG48" s="37"/>
      <c r="CH48" s="37"/>
      <c r="CI48" s="37"/>
      <c r="CJ48" s="37"/>
    </row>
    <row r="49" spans="2:88" ht="4.95" customHeight="1" x14ac:dyDescent="0.3">
      <c r="C49" s="6"/>
      <c r="F49" s="12"/>
      <c r="G49" s="12"/>
      <c r="K49" s="109"/>
      <c r="L49" s="109"/>
      <c r="M49" s="109"/>
      <c r="N49" s="41"/>
      <c r="O49" s="41"/>
      <c r="R49" s="109"/>
      <c r="S49" s="109"/>
      <c r="T49" s="109"/>
      <c r="U49" s="41"/>
      <c r="V49" s="41"/>
      <c r="Y49" s="109"/>
      <c r="Z49" s="109"/>
      <c r="AA49" s="109"/>
      <c r="AE49" s="110"/>
      <c r="AH49" s="110"/>
      <c r="AM49" s="75">
        <f t="shared" si="0"/>
        <v>0</v>
      </c>
      <c r="AR49" s="37"/>
      <c r="AS49" s="47"/>
      <c r="AT49" s="104"/>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37"/>
      <c r="BV49" s="37"/>
      <c r="BW49" s="37"/>
      <c r="BX49" s="37"/>
      <c r="BY49" s="37"/>
      <c r="BZ49" s="37"/>
      <c r="CA49" s="37"/>
      <c r="CB49" s="37"/>
      <c r="CC49" s="37"/>
      <c r="CD49" s="37"/>
      <c r="CE49" s="37"/>
      <c r="CF49" s="37"/>
      <c r="CG49" s="37"/>
      <c r="CH49" s="37"/>
      <c r="CI49" s="37"/>
      <c r="CJ49" s="37"/>
    </row>
    <row r="50" spans="2:88" ht="15" customHeight="1" x14ac:dyDescent="0.3">
      <c r="B50" s="224"/>
      <c r="C50" s="224"/>
      <c r="D50" s="224"/>
      <c r="F50" s="224"/>
      <c r="G50" s="224"/>
      <c r="H50" s="224"/>
      <c r="K50" s="223"/>
      <c r="L50" s="223"/>
      <c r="M50" s="223"/>
      <c r="N50" s="175" t="str">
        <f>IF($AQ$10=0,"Units?",IF($AQ$10=1,"ac",IF($AQ$10=2,"sq-ft","Error")))</f>
        <v>Units?</v>
      </c>
      <c r="O50" s="175"/>
      <c r="R50" s="223"/>
      <c r="S50" s="223"/>
      <c r="T50" s="223"/>
      <c r="U50" s="175" t="str">
        <f>IF($AQ$10=0,"Units?",IF($AQ$10=1,"ac",IF($AQ$10=2,"sq-ft","Error")))</f>
        <v>Units?</v>
      </c>
      <c r="V50" s="175"/>
      <c r="Y50" s="223"/>
      <c r="Z50" s="223"/>
      <c r="AA50" s="223"/>
      <c r="AB50" s="175" t="str">
        <f>IF($AQ$10=0,"Units?",IF($AQ$10=1,"ac",IF($AQ$10=2,"sq-ft","Error")))</f>
        <v>Units?</v>
      </c>
      <c r="AC50" s="175"/>
      <c r="AE50" s="54"/>
      <c r="AF50" s="4" t="s">
        <v>120</v>
      </c>
      <c r="AH50" s="54"/>
      <c r="AI50" s="4" t="s">
        <v>121</v>
      </c>
      <c r="AM50" s="90">
        <f>IF(ISBLANK(B50),1,2)</f>
        <v>1</v>
      </c>
      <c r="AN50" s="90">
        <f>IF(AND(ISBLANK(AE50),ISBLANK(AH50)),0,1)</f>
        <v>0</v>
      </c>
      <c r="AO50" s="90">
        <f>IF(AND(ISBLANK(AE50),LEN(AH50)&gt;0),2,1)</f>
        <v>1</v>
      </c>
      <c r="AP50" s="90">
        <f>IF(ISBLANK(AE50),1,IF(ISBLANK(AH50),2,3))</f>
        <v>1</v>
      </c>
      <c r="AR50" s="37"/>
      <c r="AS50" s="47"/>
      <c r="AT50" s="104"/>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37"/>
      <c r="BV50" s="37"/>
      <c r="BW50" s="37"/>
      <c r="BX50" s="37"/>
      <c r="BY50" s="37"/>
      <c r="BZ50" s="37"/>
      <c r="CA50" s="37"/>
      <c r="CB50" s="37"/>
      <c r="CC50" s="37"/>
      <c r="CD50" s="37"/>
      <c r="CE50" s="37"/>
      <c r="CF50" s="37"/>
      <c r="CG50" s="37"/>
      <c r="CH50" s="37"/>
      <c r="CI50" s="37"/>
      <c r="CJ50" s="37"/>
    </row>
    <row r="51" spans="2:88" ht="4.95" customHeight="1" x14ac:dyDescent="0.3">
      <c r="C51" s="6"/>
      <c r="F51" s="12"/>
      <c r="G51" s="12"/>
      <c r="K51" s="109"/>
      <c r="L51" s="109"/>
      <c r="M51" s="109"/>
      <c r="N51" s="41"/>
      <c r="O51" s="41"/>
      <c r="R51" s="109"/>
      <c r="S51" s="109"/>
      <c r="T51" s="109"/>
      <c r="U51" s="41"/>
      <c r="V51" s="41"/>
      <c r="Y51" s="109"/>
      <c r="Z51" s="109"/>
      <c r="AA51" s="109"/>
      <c r="AE51" s="110"/>
      <c r="AH51" s="110"/>
      <c r="AM51" s="75">
        <f t="shared" si="0"/>
        <v>0</v>
      </c>
      <c r="AR51" s="37"/>
      <c r="AS51" s="47"/>
      <c r="AT51" s="104"/>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37"/>
      <c r="BV51" s="37"/>
      <c r="BW51" s="37"/>
      <c r="BX51" s="37"/>
      <c r="BY51" s="37"/>
      <c r="BZ51" s="37"/>
      <c r="CA51" s="37"/>
      <c r="CB51" s="37"/>
      <c r="CC51" s="37"/>
      <c r="CD51" s="37"/>
      <c r="CE51" s="37"/>
      <c r="CF51" s="37"/>
      <c r="CG51" s="37"/>
      <c r="CH51" s="37"/>
      <c r="CI51" s="37"/>
      <c r="CJ51" s="37"/>
    </row>
    <row r="52" spans="2:88" ht="15" customHeight="1" x14ac:dyDescent="0.3">
      <c r="B52" s="224"/>
      <c r="C52" s="224"/>
      <c r="D52" s="224"/>
      <c r="F52" s="224"/>
      <c r="G52" s="224"/>
      <c r="H52" s="224"/>
      <c r="K52" s="223"/>
      <c r="L52" s="223"/>
      <c r="M52" s="223"/>
      <c r="N52" s="175" t="str">
        <f>IF($AQ$10=0,"Units?",IF($AQ$10=1,"ac",IF($AQ$10=2,"sq-ft","Error")))</f>
        <v>Units?</v>
      </c>
      <c r="O52" s="175"/>
      <c r="R52" s="223"/>
      <c r="S52" s="223"/>
      <c r="T52" s="223"/>
      <c r="U52" s="175" t="str">
        <f>IF($AQ$10=0,"Units?",IF($AQ$10=1,"ac",IF($AQ$10=2,"sq-ft","Error")))</f>
        <v>Units?</v>
      </c>
      <c r="V52" s="175"/>
      <c r="Y52" s="223"/>
      <c r="Z52" s="223"/>
      <c r="AA52" s="223"/>
      <c r="AB52" s="175" t="str">
        <f>IF($AQ$10=0,"Units?",IF($AQ$10=1,"ac",IF($AQ$10=2,"sq-ft","Error")))</f>
        <v>Units?</v>
      </c>
      <c r="AC52" s="175"/>
      <c r="AE52" s="54"/>
      <c r="AF52" s="4" t="s">
        <v>120</v>
      </c>
      <c r="AH52" s="54"/>
      <c r="AI52" s="4" t="s">
        <v>121</v>
      </c>
      <c r="AM52" s="90">
        <f>IF(ISBLANK(B52),1,2)</f>
        <v>1</v>
      </c>
      <c r="AN52" s="90">
        <f>IF(AND(ISBLANK(AE52),ISBLANK(AH52)),0,1)</f>
        <v>0</v>
      </c>
      <c r="AO52" s="90">
        <f>IF(AND(ISBLANK(AE52),LEN(AH52)&gt;0),2,1)</f>
        <v>1</v>
      </c>
      <c r="AP52" s="90">
        <f>IF(ISBLANK(AE52),1,IF(ISBLANK(AH52),2,3))</f>
        <v>1</v>
      </c>
      <c r="AR52" s="37"/>
      <c r="AS52" s="47"/>
      <c r="AT52" s="104"/>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37"/>
      <c r="BV52" s="37"/>
      <c r="BW52" s="37"/>
      <c r="BX52" s="37"/>
      <c r="BY52" s="37"/>
      <c r="BZ52" s="37"/>
      <c r="CA52" s="37"/>
      <c r="CB52" s="37"/>
      <c r="CC52" s="37"/>
      <c r="CD52" s="37"/>
      <c r="CE52" s="37"/>
      <c r="CF52" s="37"/>
      <c r="CG52" s="37"/>
      <c r="CH52" s="37"/>
      <c r="CI52" s="37"/>
      <c r="CJ52" s="37"/>
    </row>
    <row r="53" spans="2:88" ht="4.95" customHeight="1" x14ac:dyDescent="0.3">
      <c r="AM53" s="75">
        <f t="shared" si="0"/>
        <v>0</v>
      </c>
      <c r="AR53" s="37"/>
      <c r="AS53" s="47"/>
      <c r="AT53" s="104"/>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37"/>
      <c r="BV53" s="37"/>
      <c r="BW53" s="37"/>
      <c r="BX53" s="37"/>
      <c r="BY53" s="37"/>
      <c r="BZ53" s="37"/>
      <c r="CA53" s="37"/>
      <c r="CB53" s="37"/>
      <c r="CC53" s="37"/>
      <c r="CD53" s="37"/>
      <c r="CE53" s="37"/>
      <c r="CF53" s="37"/>
      <c r="CG53" s="37"/>
      <c r="CH53" s="37"/>
      <c r="CI53" s="37"/>
      <c r="CJ53" s="37"/>
    </row>
    <row r="54" spans="2:88" ht="15" customHeight="1" x14ac:dyDescent="0.3">
      <c r="J54" s="2" t="s">
        <v>312</v>
      </c>
      <c r="K54" s="227">
        <f>SUM(K24:M52)</f>
        <v>0</v>
      </c>
      <c r="L54" s="227"/>
      <c r="M54" s="227"/>
      <c r="N54" s="175" t="str">
        <f>IF($AQ$10=0,"Units?",IF($AQ$10=1,"ac",IF($AQ$10=2,"sq-ft","Error")))</f>
        <v>Units?</v>
      </c>
      <c r="O54" s="175"/>
      <c r="Q54" s="2" t="s">
        <v>312</v>
      </c>
      <c r="R54" s="225">
        <f>IF(ISERR(SUM(R24:T52)),0,SUM(R24:T52))</f>
        <v>0</v>
      </c>
      <c r="S54" s="225"/>
      <c r="T54" s="225"/>
      <c r="U54" s="175" t="str">
        <f>IF($AQ$10=0,"Units?",IF($AQ$10=1,"ac",IF($AQ$10=2,"sq-ft","Error")))</f>
        <v>Units?</v>
      </c>
      <c r="V54" s="175"/>
      <c r="X54" s="2" t="s">
        <v>312</v>
      </c>
      <c r="Y54" s="225">
        <f>IF(ISERR(SUM(Y24:AA52)),0,SUM(Y24:AA52))</f>
        <v>0</v>
      </c>
      <c r="Z54" s="225"/>
      <c r="AA54" s="225"/>
      <c r="AB54" s="175" t="str">
        <f>IF($AQ$10=0,"Units?",IF($AQ$10=1,"ac",IF($AQ$10=2,"sq-ft","Error")))</f>
        <v>Units?</v>
      </c>
      <c r="AC54" s="175"/>
      <c r="AR54" s="37"/>
      <c r="AS54" s="47"/>
      <c r="AT54" s="104"/>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37"/>
      <c r="BV54" s="37"/>
      <c r="BW54" s="37"/>
      <c r="BX54" s="37"/>
      <c r="BY54" s="37"/>
      <c r="BZ54" s="37"/>
      <c r="CA54" s="37"/>
      <c r="CB54" s="37"/>
      <c r="CC54" s="37"/>
      <c r="CD54" s="37"/>
      <c r="CE54" s="37"/>
      <c r="CF54" s="37"/>
      <c r="CG54" s="37"/>
      <c r="CH54" s="37"/>
      <c r="CI54" s="37"/>
      <c r="CJ54" s="37"/>
    </row>
    <row r="55" spans="2:88" ht="15" customHeight="1" x14ac:dyDescent="0.3">
      <c r="R55" s="226">
        <f>IF(ISERR(R54/$K54),0,R54/$K54*100)</f>
        <v>0</v>
      </c>
      <c r="S55" s="226"/>
      <c r="T55" s="226"/>
      <c r="U55" s="4" t="s">
        <v>300</v>
      </c>
      <c r="Y55" s="226">
        <f>IF(ISERR(Y54/$K54),0,Y54/$K54*100)</f>
        <v>0</v>
      </c>
      <c r="Z55" s="226"/>
      <c r="AA55" s="226"/>
      <c r="AB55" s="4" t="s">
        <v>300</v>
      </c>
      <c r="AR55" s="37"/>
      <c r="AS55" s="47"/>
      <c r="AT55" s="104"/>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37"/>
      <c r="BV55" s="37"/>
      <c r="BW55" s="37"/>
      <c r="BX55" s="37"/>
      <c r="BY55" s="37"/>
      <c r="BZ55" s="37"/>
      <c r="CA55" s="37"/>
      <c r="CB55" s="37"/>
      <c r="CC55" s="37"/>
      <c r="CD55" s="37"/>
      <c r="CE55" s="37"/>
      <c r="CF55" s="37"/>
      <c r="CG55" s="37"/>
      <c r="CH55" s="37"/>
      <c r="CI55" s="37"/>
      <c r="CJ55" s="37"/>
    </row>
    <row r="56" spans="2:88" ht="15" customHeight="1" x14ac:dyDescent="0.3">
      <c r="AR56" s="37"/>
      <c r="AS56" s="47"/>
      <c r="AT56" s="104"/>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37"/>
      <c r="BV56" s="37"/>
      <c r="BW56" s="37"/>
      <c r="BX56" s="37"/>
      <c r="BY56" s="37"/>
      <c r="BZ56" s="37"/>
      <c r="CA56" s="37"/>
      <c r="CB56" s="37"/>
      <c r="CC56" s="37"/>
      <c r="CD56" s="37"/>
      <c r="CE56" s="37"/>
      <c r="CF56" s="37"/>
      <c r="CG56" s="37"/>
      <c r="CH56" s="37"/>
      <c r="CI56" s="37"/>
      <c r="CJ56" s="37"/>
    </row>
    <row r="57" spans="2:88" ht="15" customHeight="1" x14ac:dyDescent="0.3">
      <c r="AR57" s="37"/>
      <c r="AS57" s="47"/>
      <c r="AT57" s="104"/>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37"/>
      <c r="BV57" s="37"/>
      <c r="BW57" s="37"/>
      <c r="BX57" s="37"/>
      <c r="BY57" s="37"/>
      <c r="BZ57" s="37"/>
      <c r="CA57" s="37"/>
      <c r="CB57" s="37"/>
      <c r="CC57" s="37"/>
      <c r="CD57" s="37"/>
      <c r="CE57" s="37"/>
      <c r="CF57" s="37"/>
      <c r="CG57" s="37"/>
      <c r="CH57" s="37"/>
      <c r="CI57" s="37"/>
      <c r="CJ57" s="37"/>
    </row>
    <row r="58" spans="2:88" ht="15" customHeight="1" x14ac:dyDescent="0.3">
      <c r="AR58" s="37"/>
      <c r="AS58" s="47"/>
      <c r="AT58" s="104"/>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37"/>
      <c r="BV58" s="37"/>
      <c r="BW58" s="37"/>
      <c r="BX58" s="37"/>
      <c r="BY58" s="37"/>
      <c r="BZ58" s="37"/>
      <c r="CA58" s="37"/>
      <c r="CB58" s="37"/>
      <c r="CC58" s="37"/>
      <c r="CD58" s="37"/>
      <c r="CE58" s="37"/>
      <c r="CF58" s="37"/>
      <c r="CG58" s="37"/>
      <c r="CH58" s="37"/>
      <c r="CI58" s="37"/>
      <c r="CJ58" s="37"/>
    </row>
    <row r="59" spans="2:88" ht="15" customHeight="1" x14ac:dyDescent="0.3">
      <c r="AR59" s="37"/>
      <c r="AS59" s="47"/>
      <c r="AT59" s="104"/>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37"/>
      <c r="BV59" s="37"/>
      <c r="BW59" s="37"/>
      <c r="BX59" s="37"/>
      <c r="BY59" s="37"/>
      <c r="BZ59" s="37"/>
      <c r="CA59" s="37"/>
      <c r="CB59" s="37"/>
      <c r="CC59" s="37"/>
      <c r="CD59" s="37"/>
      <c r="CE59" s="37"/>
      <c r="CF59" s="37"/>
      <c r="CG59" s="37"/>
      <c r="CH59" s="37"/>
      <c r="CI59" s="37"/>
      <c r="CJ59" s="37"/>
    </row>
    <row r="60" spans="2:88" ht="15" customHeight="1" x14ac:dyDescent="0.3">
      <c r="AR60" s="37"/>
      <c r="AS60" s="47"/>
      <c r="AT60" s="104"/>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37"/>
      <c r="BV60" s="37"/>
      <c r="BW60" s="37"/>
      <c r="BX60" s="37"/>
      <c r="BY60" s="37"/>
      <c r="BZ60" s="37"/>
      <c r="CA60" s="37"/>
      <c r="CB60" s="37"/>
      <c r="CC60" s="37"/>
      <c r="CD60" s="37"/>
      <c r="CE60" s="37"/>
      <c r="CF60" s="37"/>
      <c r="CG60" s="37"/>
      <c r="CH60" s="37"/>
      <c r="CI60" s="37"/>
      <c r="CJ60" s="37"/>
    </row>
    <row r="61" spans="2:88" ht="15" customHeight="1" x14ac:dyDescent="0.3">
      <c r="AR61" s="37"/>
      <c r="AS61" s="47"/>
      <c r="AT61" s="104"/>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37"/>
      <c r="BV61" s="37"/>
      <c r="BW61" s="37"/>
      <c r="BX61" s="37"/>
      <c r="BY61" s="37"/>
      <c r="BZ61" s="37"/>
      <c r="CA61" s="37"/>
      <c r="CB61" s="37"/>
      <c r="CC61" s="37"/>
      <c r="CD61" s="37"/>
      <c r="CE61" s="37"/>
      <c r="CF61" s="37"/>
      <c r="CG61" s="37"/>
      <c r="CH61" s="37"/>
      <c r="CI61" s="37"/>
      <c r="CJ61" s="37"/>
    </row>
    <row r="62" spans="2:88" ht="15" customHeight="1" x14ac:dyDescent="0.3">
      <c r="AR62" s="37"/>
      <c r="AS62" s="47"/>
      <c r="AT62" s="104"/>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37"/>
      <c r="BV62" s="37"/>
      <c r="BW62" s="37"/>
      <c r="BX62" s="37"/>
      <c r="BY62" s="37"/>
      <c r="BZ62" s="37"/>
      <c r="CA62" s="37"/>
      <c r="CB62" s="37"/>
      <c r="CC62" s="37"/>
      <c r="CD62" s="37"/>
      <c r="CE62" s="37"/>
      <c r="CF62" s="37"/>
      <c r="CG62" s="37"/>
      <c r="CH62" s="37"/>
      <c r="CI62" s="37"/>
      <c r="CJ62" s="37"/>
    </row>
    <row r="63" spans="2:88" ht="15" customHeight="1" x14ac:dyDescent="0.3">
      <c r="B63" s="177">
        <f>Tables!$F$13</f>
        <v>45931</v>
      </c>
      <c r="C63" s="177"/>
      <c r="D63" s="177"/>
      <c r="E63" s="177"/>
      <c r="F63" s="177"/>
      <c r="G63" s="177"/>
      <c r="H63" s="177"/>
      <c r="R63" s="197" t="s">
        <v>302</v>
      </c>
      <c r="S63" s="197"/>
      <c r="T63" s="197"/>
      <c r="U63" s="197"/>
      <c r="AR63" s="37"/>
      <c r="AS63" s="47"/>
      <c r="AT63" s="104"/>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37"/>
      <c r="BV63" s="37"/>
      <c r="BW63" s="37"/>
      <c r="BX63" s="37"/>
      <c r="BY63" s="37"/>
      <c r="BZ63" s="37"/>
      <c r="CA63" s="37"/>
      <c r="CB63" s="37"/>
      <c r="CC63" s="37"/>
      <c r="CD63" s="37"/>
      <c r="CE63" s="37"/>
      <c r="CF63" s="37"/>
      <c r="CG63" s="37"/>
      <c r="CH63" s="37"/>
      <c r="CI63" s="37"/>
      <c r="CJ63" s="37"/>
    </row>
    <row r="64" spans="2:88" ht="15" customHeight="1" x14ac:dyDescent="0.3">
      <c r="C64" s="2" t="s">
        <v>131</v>
      </c>
      <c r="D64" s="180">
        <f>IF(ISBLANK($E$7),0,$E$7)</f>
        <v>0</v>
      </c>
      <c r="E64" s="180"/>
      <c r="F64" s="180"/>
      <c r="G64" s="180"/>
      <c r="H64" s="180"/>
      <c r="I64" s="180"/>
      <c r="J64" s="180"/>
      <c r="K64" s="180"/>
      <c r="L64" s="180"/>
      <c r="M64" s="180"/>
      <c r="N64" s="180"/>
      <c r="O64" s="180"/>
      <c r="P64" s="180"/>
      <c r="Q64" s="180"/>
      <c r="R64" s="180"/>
      <c r="S64" s="180"/>
      <c r="T64" s="180"/>
      <c r="U64" s="180"/>
      <c r="V64" s="180"/>
      <c r="W64" s="180"/>
      <c r="X64" s="180"/>
      <c r="Y64" s="180"/>
      <c r="AD64" s="2" t="s">
        <v>158</v>
      </c>
      <c r="AE64" s="181">
        <f>IF(ISBLANK($AE$7),0,$AE$7)</f>
        <v>0</v>
      </c>
      <c r="AF64" s="181"/>
      <c r="AG64" s="181"/>
      <c r="AH64" s="181"/>
      <c r="AI64" s="181"/>
      <c r="AJ64" s="181"/>
      <c r="AR64" s="37"/>
      <c r="AS64" s="47"/>
      <c r="AT64" s="104"/>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37"/>
      <c r="BV64" s="37"/>
      <c r="BW64" s="37"/>
      <c r="BX64" s="37"/>
      <c r="BY64" s="37"/>
      <c r="BZ64" s="37"/>
      <c r="CA64" s="37"/>
      <c r="CB64" s="37"/>
      <c r="CC64" s="37"/>
      <c r="CD64" s="37"/>
      <c r="CE64" s="37"/>
      <c r="CF64" s="37"/>
      <c r="CG64" s="37"/>
      <c r="CH64" s="37"/>
      <c r="CI64" s="37"/>
      <c r="CJ64" s="37"/>
    </row>
    <row r="65" spans="2:88" ht="15" customHeight="1" x14ac:dyDescent="0.3">
      <c r="B65" s="9"/>
      <c r="AR65" s="37"/>
      <c r="AS65" s="47"/>
      <c r="AT65" s="104"/>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37"/>
      <c r="BV65" s="37"/>
      <c r="BW65" s="37"/>
      <c r="BX65" s="37"/>
      <c r="BY65" s="37"/>
      <c r="BZ65" s="37"/>
      <c r="CA65" s="37"/>
      <c r="CB65" s="37"/>
      <c r="CC65" s="37"/>
      <c r="CD65" s="37"/>
      <c r="CE65" s="37"/>
      <c r="CF65" s="37"/>
      <c r="CG65" s="37"/>
      <c r="CH65" s="37"/>
      <c r="CI65" s="37"/>
      <c r="CJ65" s="37"/>
    </row>
    <row r="66" spans="2:88" ht="15" customHeight="1" x14ac:dyDescent="0.3">
      <c r="B66" s="9" t="s">
        <v>19</v>
      </c>
      <c r="AR66" s="37"/>
      <c r="AS66" s="47"/>
      <c r="AT66" s="104"/>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37"/>
      <c r="BV66" s="37"/>
      <c r="BW66" s="37"/>
      <c r="BX66" s="37"/>
      <c r="BY66" s="37"/>
      <c r="BZ66" s="37"/>
      <c r="CA66" s="37"/>
      <c r="CB66" s="37"/>
      <c r="CC66" s="37"/>
      <c r="CD66" s="37"/>
      <c r="CE66" s="37"/>
      <c r="CF66" s="37"/>
      <c r="CG66" s="37"/>
      <c r="CH66" s="37"/>
      <c r="CI66" s="37"/>
      <c r="CJ66" s="37"/>
    </row>
    <row r="67" spans="2:88" ht="15" customHeight="1" x14ac:dyDescent="0.3">
      <c r="B67" s="182"/>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4"/>
      <c r="AM67" s="90">
        <f>IF(SUM(AO16,AO18,AO20)&gt;0,2,1)</f>
        <v>1</v>
      </c>
      <c r="AR67" s="37"/>
      <c r="AS67" s="47"/>
      <c r="AT67" s="104"/>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37"/>
      <c r="BV67" s="37"/>
      <c r="BW67" s="37"/>
      <c r="BX67" s="37"/>
      <c r="BY67" s="37"/>
      <c r="BZ67" s="37"/>
      <c r="CA67" s="37"/>
      <c r="CB67" s="37"/>
      <c r="CC67" s="37"/>
      <c r="CD67" s="37"/>
      <c r="CE67" s="37"/>
      <c r="CF67" s="37"/>
      <c r="CG67" s="37"/>
      <c r="CH67" s="37"/>
      <c r="CI67" s="37"/>
      <c r="CJ67" s="37"/>
    </row>
    <row r="68" spans="2:88" ht="15" customHeight="1" x14ac:dyDescent="0.3">
      <c r="B68" s="185"/>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7"/>
      <c r="AR68" s="37"/>
      <c r="AS68" s="47"/>
      <c r="AT68" s="104"/>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37"/>
      <c r="BV68" s="37"/>
      <c r="BW68" s="37"/>
      <c r="BX68" s="37"/>
      <c r="BY68" s="37"/>
      <c r="BZ68" s="37"/>
      <c r="CA68" s="37"/>
      <c r="CB68" s="37"/>
      <c r="CC68" s="37"/>
      <c r="CD68" s="37"/>
      <c r="CE68" s="37"/>
      <c r="CF68" s="37"/>
      <c r="CG68" s="37"/>
      <c r="CH68" s="37"/>
      <c r="CI68" s="37"/>
      <c r="CJ68" s="37"/>
    </row>
    <row r="69" spans="2:88" ht="15" customHeight="1" x14ac:dyDescent="0.3">
      <c r="B69" s="185"/>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7"/>
      <c r="AR69" s="37"/>
      <c r="AS69" s="47"/>
      <c r="AT69" s="104"/>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37"/>
      <c r="BV69" s="37"/>
      <c r="BW69" s="37"/>
      <c r="BX69" s="37"/>
      <c r="BY69" s="37"/>
      <c r="BZ69" s="37"/>
      <c r="CA69" s="37"/>
      <c r="CB69" s="37"/>
      <c r="CC69" s="37"/>
      <c r="CD69" s="37"/>
      <c r="CE69" s="37"/>
      <c r="CF69" s="37"/>
      <c r="CG69" s="37"/>
      <c r="CH69" s="37"/>
      <c r="CI69" s="37"/>
      <c r="CJ69" s="37"/>
    </row>
    <row r="70" spans="2:88" ht="15" customHeight="1" x14ac:dyDescent="0.3">
      <c r="B70" s="185"/>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7"/>
      <c r="AR70" s="37"/>
      <c r="AS70" s="47"/>
      <c r="AT70" s="104"/>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37"/>
      <c r="BV70" s="37"/>
      <c r="BW70" s="37"/>
      <c r="BX70" s="37"/>
      <c r="BY70" s="37"/>
      <c r="BZ70" s="37"/>
      <c r="CA70" s="37"/>
      <c r="CB70" s="37"/>
      <c r="CC70" s="37"/>
      <c r="CD70" s="37"/>
      <c r="CE70" s="37"/>
      <c r="CF70" s="37"/>
      <c r="CG70" s="37"/>
      <c r="CH70" s="37"/>
      <c r="CI70" s="37"/>
      <c r="CJ70" s="37"/>
    </row>
    <row r="71" spans="2:88" ht="15" customHeight="1" x14ac:dyDescent="0.3">
      <c r="B71" s="185"/>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7"/>
      <c r="AR71" s="37"/>
      <c r="AS71" s="47"/>
      <c r="AT71" s="104"/>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37"/>
      <c r="BV71" s="37"/>
      <c r="BW71" s="37"/>
      <c r="BX71" s="37"/>
      <c r="BY71" s="37"/>
      <c r="BZ71" s="37"/>
      <c r="CA71" s="37"/>
      <c r="CB71" s="37"/>
      <c r="CC71" s="37"/>
      <c r="CD71" s="37"/>
      <c r="CE71" s="37"/>
      <c r="CF71" s="37"/>
      <c r="CG71" s="37"/>
      <c r="CH71" s="37"/>
      <c r="CI71" s="37"/>
      <c r="CJ71" s="37"/>
    </row>
    <row r="72" spans="2:88" ht="15" customHeight="1" x14ac:dyDescent="0.3">
      <c r="B72" s="185"/>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7"/>
      <c r="AR72" s="37"/>
      <c r="AS72" s="47"/>
      <c r="AT72" s="104"/>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37"/>
      <c r="BV72" s="37"/>
      <c r="BW72" s="37"/>
      <c r="BX72" s="37"/>
      <c r="BY72" s="37"/>
      <c r="BZ72" s="37"/>
      <c r="CA72" s="37"/>
      <c r="CB72" s="37"/>
      <c r="CC72" s="37"/>
      <c r="CD72" s="37"/>
      <c r="CE72" s="37"/>
      <c r="CF72" s="37"/>
      <c r="CG72" s="37"/>
      <c r="CH72" s="37"/>
      <c r="CI72" s="37"/>
      <c r="CJ72" s="37"/>
    </row>
    <row r="73" spans="2:88" ht="15" customHeight="1" x14ac:dyDescent="0.3">
      <c r="B73" s="185"/>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7"/>
      <c r="AR73" s="37"/>
      <c r="AS73" s="47"/>
      <c r="AT73" s="104"/>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37"/>
      <c r="BV73" s="37"/>
      <c r="BW73" s="37"/>
      <c r="BX73" s="37"/>
      <c r="BY73" s="37"/>
      <c r="BZ73" s="37"/>
      <c r="CA73" s="37"/>
      <c r="CB73" s="37"/>
      <c r="CC73" s="37"/>
      <c r="CD73" s="37"/>
      <c r="CE73" s="37"/>
      <c r="CF73" s="37"/>
      <c r="CG73" s="37"/>
      <c r="CH73" s="37"/>
      <c r="CI73" s="37"/>
      <c r="CJ73" s="37"/>
    </row>
    <row r="74" spans="2:88" ht="15" customHeight="1" x14ac:dyDescent="0.3">
      <c r="B74" s="185"/>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7"/>
      <c r="AR74" s="37"/>
      <c r="AS74" s="47"/>
      <c r="AT74" s="104"/>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37"/>
      <c r="BV74" s="37"/>
      <c r="BW74" s="37"/>
      <c r="BX74" s="37"/>
      <c r="BY74" s="37"/>
      <c r="BZ74" s="37"/>
      <c r="CA74" s="37"/>
      <c r="CB74" s="37"/>
      <c r="CC74" s="37"/>
      <c r="CD74" s="37"/>
      <c r="CE74" s="37"/>
      <c r="CF74" s="37"/>
      <c r="CG74" s="37"/>
      <c r="CH74" s="37"/>
      <c r="CI74" s="37"/>
      <c r="CJ74" s="37"/>
    </row>
    <row r="75" spans="2:88" ht="15" customHeight="1" x14ac:dyDescent="0.3">
      <c r="B75" s="185"/>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7"/>
      <c r="AR75" s="37"/>
      <c r="AS75" s="47"/>
      <c r="AT75" s="104"/>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37"/>
      <c r="BV75" s="37"/>
      <c r="BW75" s="37"/>
      <c r="BX75" s="37"/>
      <c r="BY75" s="37"/>
      <c r="BZ75" s="37"/>
      <c r="CA75" s="37"/>
      <c r="CB75" s="37"/>
      <c r="CC75" s="37"/>
      <c r="CD75" s="37"/>
      <c r="CE75" s="37"/>
      <c r="CF75" s="37"/>
      <c r="CG75" s="37"/>
      <c r="CH75" s="37"/>
      <c r="CI75" s="37"/>
      <c r="CJ75" s="37"/>
    </row>
    <row r="76" spans="2:88" ht="15" customHeight="1" x14ac:dyDescent="0.3">
      <c r="B76" s="185"/>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7"/>
      <c r="AR76" s="37"/>
      <c r="AS76" s="47"/>
      <c r="AT76" s="104"/>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37"/>
      <c r="BV76" s="37"/>
      <c r="BW76" s="37"/>
      <c r="BX76" s="37"/>
      <c r="BY76" s="37"/>
      <c r="BZ76" s="37"/>
      <c r="CA76" s="37"/>
      <c r="CB76" s="37"/>
      <c r="CC76" s="37"/>
      <c r="CD76" s="37"/>
      <c r="CE76" s="37"/>
      <c r="CF76" s="37"/>
      <c r="CG76" s="37"/>
      <c r="CH76" s="37"/>
      <c r="CI76" s="37"/>
      <c r="CJ76" s="37"/>
    </row>
    <row r="77" spans="2:88" ht="15" customHeight="1" x14ac:dyDescent="0.3">
      <c r="B77" s="185"/>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7"/>
      <c r="AR77" s="37"/>
      <c r="AS77" s="47"/>
      <c r="AT77" s="104"/>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37"/>
      <c r="BV77" s="37"/>
      <c r="BW77" s="37"/>
      <c r="BX77" s="37"/>
      <c r="BY77" s="37"/>
      <c r="BZ77" s="37"/>
      <c r="CA77" s="37"/>
      <c r="CB77" s="37"/>
      <c r="CC77" s="37"/>
      <c r="CD77" s="37"/>
      <c r="CE77" s="37"/>
      <c r="CF77" s="37"/>
      <c r="CG77" s="37"/>
      <c r="CH77" s="37"/>
      <c r="CI77" s="37"/>
      <c r="CJ77" s="37"/>
    </row>
    <row r="78" spans="2:88" ht="15" customHeight="1" x14ac:dyDescent="0.3">
      <c r="B78" s="185"/>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7"/>
      <c r="AR78" s="37"/>
      <c r="AS78" s="47"/>
      <c r="AT78" s="104"/>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37"/>
      <c r="BV78" s="37"/>
      <c r="BW78" s="37"/>
      <c r="BX78" s="37"/>
      <c r="BY78" s="37"/>
      <c r="BZ78" s="37"/>
      <c r="CA78" s="37"/>
      <c r="CB78" s="37"/>
      <c r="CC78" s="37"/>
      <c r="CD78" s="37"/>
      <c r="CE78" s="37"/>
      <c r="CF78" s="37"/>
      <c r="CG78" s="37"/>
      <c r="CH78" s="37"/>
      <c r="CI78" s="37"/>
      <c r="CJ78" s="37"/>
    </row>
    <row r="79" spans="2:88" ht="15" customHeight="1" x14ac:dyDescent="0.3">
      <c r="B79" s="185"/>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6"/>
      <c r="AH79" s="186"/>
      <c r="AI79" s="186"/>
      <c r="AJ79" s="187"/>
      <c r="AR79" s="37"/>
      <c r="AS79" s="47"/>
      <c r="AT79" s="104"/>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37"/>
      <c r="BV79" s="37"/>
      <c r="BW79" s="37"/>
      <c r="BX79" s="37"/>
      <c r="BY79" s="37"/>
      <c r="BZ79" s="37"/>
      <c r="CA79" s="37"/>
      <c r="CB79" s="37"/>
      <c r="CC79" s="37"/>
      <c r="CD79" s="37"/>
      <c r="CE79" s="37"/>
      <c r="CF79" s="37"/>
      <c r="CG79" s="37"/>
      <c r="CH79" s="37"/>
      <c r="CI79" s="37"/>
      <c r="CJ79" s="37"/>
    </row>
    <row r="80" spans="2:88" ht="15" customHeight="1" x14ac:dyDescent="0.3">
      <c r="B80" s="188"/>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90"/>
      <c r="AR80" s="37"/>
      <c r="AS80" s="47"/>
      <c r="AT80" s="104"/>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37"/>
      <c r="BV80" s="37"/>
      <c r="BW80" s="37"/>
      <c r="BX80" s="37"/>
      <c r="BY80" s="37"/>
      <c r="BZ80" s="37"/>
      <c r="CA80" s="37"/>
      <c r="CB80" s="37"/>
      <c r="CC80" s="37"/>
      <c r="CD80" s="37"/>
      <c r="CE80" s="37"/>
      <c r="CF80" s="37"/>
      <c r="CG80" s="37"/>
      <c r="CH80" s="37"/>
      <c r="CI80" s="37"/>
      <c r="CJ80" s="37"/>
    </row>
    <row r="81" spans="2:88" ht="15" customHeight="1" x14ac:dyDescent="0.3">
      <c r="B81" s="9"/>
      <c r="AR81" s="37"/>
      <c r="AS81" s="47"/>
      <c r="AT81" s="104"/>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37"/>
      <c r="BV81" s="37"/>
      <c r="BW81" s="37"/>
      <c r="BX81" s="37"/>
      <c r="BY81" s="37"/>
      <c r="BZ81" s="37"/>
      <c r="CA81" s="37"/>
      <c r="CB81" s="37"/>
      <c r="CC81" s="37"/>
      <c r="CD81" s="37"/>
      <c r="CE81" s="37"/>
      <c r="CF81" s="37"/>
      <c r="CG81" s="37"/>
      <c r="CH81" s="37"/>
      <c r="CI81" s="37"/>
      <c r="CJ81" s="37"/>
    </row>
    <row r="82" spans="2:88" ht="15" customHeight="1" x14ac:dyDescent="0.3">
      <c r="B82" s="1" t="s">
        <v>17</v>
      </c>
      <c r="C82" s="1"/>
      <c r="D82" s="1"/>
      <c r="AR82" s="37"/>
      <c r="AS82" s="37"/>
      <c r="AT82" s="105"/>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row>
    <row r="83" spans="2:88" ht="4.95" customHeight="1" x14ac:dyDescent="0.3">
      <c r="B83" s="1"/>
      <c r="C83" s="1"/>
      <c r="D83" s="1"/>
      <c r="AR83" s="37"/>
      <c r="AS83" s="37"/>
      <c r="AT83" s="105"/>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row>
    <row r="84" spans="2:88" ht="15" customHeight="1" x14ac:dyDescent="0.3">
      <c r="B84" s="67" t="s">
        <v>334</v>
      </c>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R84" s="37"/>
      <c r="AS84" s="37"/>
      <c r="AT84" s="105"/>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row>
    <row r="85" spans="2:88" ht="15" customHeight="1" x14ac:dyDescent="0.3">
      <c r="B85" s="67" t="s">
        <v>333</v>
      </c>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R85" s="37"/>
      <c r="AS85" s="37"/>
      <c r="AT85" s="105"/>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row>
    <row r="86" spans="2:88" ht="15" customHeight="1" x14ac:dyDescent="0.3">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R86" s="37"/>
      <c r="AS86" s="37"/>
      <c r="AT86" s="105"/>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row>
    <row r="87" spans="2:88" ht="15" customHeight="1" x14ac:dyDescent="0.3">
      <c r="D87" s="2" t="s">
        <v>163</v>
      </c>
      <c r="E87" s="193"/>
      <c r="F87" s="193"/>
      <c r="G87" s="193"/>
      <c r="H87" s="193"/>
      <c r="I87" s="193"/>
      <c r="J87" s="193"/>
      <c r="K87" s="193"/>
      <c r="L87" s="193"/>
      <c r="M87" s="193"/>
      <c r="N87" s="193"/>
      <c r="O87" s="193"/>
      <c r="P87" s="193"/>
      <c r="Q87" s="193"/>
      <c r="R87" s="193"/>
      <c r="S87" s="193"/>
      <c r="T87" s="193"/>
      <c r="U87" s="193"/>
      <c r="V87" s="193"/>
      <c r="W87" s="193"/>
      <c r="X87" s="193"/>
      <c r="Y87" s="193"/>
      <c r="AB87" s="2" t="s">
        <v>232</v>
      </c>
      <c r="AC87" s="2"/>
      <c r="AD87" s="2"/>
      <c r="AE87" s="2"/>
      <c r="AR87" s="37"/>
      <c r="AS87" s="37"/>
      <c r="AT87" s="105"/>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row>
    <row r="88" spans="2:88" ht="15" customHeight="1" x14ac:dyDescent="0.3">
      <c r="D88" s="2" t="s">
        <v>131</v>
      </c>
      <c r="E88" s="194"/>
      <c r="F88" s="194"/>
      <c r="G88" s="194"/>
      <c r="H88" s="194"/>
      <c r="I88" s="194"/>
      <c r="J88" s="194"/>
      <c r="K88" s="194"/>
      <c r="L88" s="194"/>
      <c r="M88" s="194"/>
      <c r="N88" s="194"/>
      <c r="O88" s="194"/>
      <c r="P88" s="194"/>
      <c r="Q88" s="194"/>
      <c r="R88" s="194"/>
      <c r="S88" s="194"/>
      <c r="T88" s="194"/>
      <c r="U88" s="194"/>
      <c r="V88" s="194"/>
      <c r="W88" s="194"/>
      <c r="X88" s="194"/>
      <c r="Y88" s="194"/>
      <c r="AR88" s="37"/>
      <c r="AS88" s="37"/>
      <c r="AT88" s="105"/>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row>
    <row r="89" spans="2:88" ht="15" customHeight="1" x14ac:dyDescent="0.3">
      <c r="D89" s="2" t="s">
        <v>132</v>
      </c>
      <c r="E89" s="194"/>
      <c r="F89" s="194"/>
      <c r="G89" s="194"/>
      <c r="H89" s="194"/>
      <c r="I89" s="194"/>
      <c r="J89" s="194"/>
      <c r="K89" s="194"/>
      <c r="L89" s="194"/>
      <c r="M89" s="194"/>
      <c r="N89" s="194"/>
      <c r="O89" s="194"/>
      <c r="P89" s="194"/>
      <c r="Q89" s="194"/>
      <c r="R89" s="194"/>
      <c r="S89" s="194"/>
      <c r="T89" s="194"/>
      <c r="U89" s="194"/>
      <c r="V89" s="194"/>
      <c r="W89" s="194"/>
      <c r="X89" s="194"/>
      <c r="Y89" s="194"/>
      <c r="AR89" s="37"/>
      <c r="AS89" s="37"/>
      <c r="AT89" s="105"/>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row>
    <row r="90" spans="2:88" ht="15" customHeight="1" x14ac:dyDescent="0.3">
      <c r="D90" s="2" t="s">
        <v>206</v>
      </c>
      <c r="E90" s="194"/>
      <c r="F90" s="194"/>
      <c r="G90" s="194"/>
      <c r="H90" s="194"/>
      <c r="I90" s="194"/>
      <c r="J90" s="194"/>
      <c r="K90" s="194"/>
      <c r="L90" s="53"/>
      <c r="M90" s="53"/>
      <c r="N90" s="98" t="s">
        <v>135</v>
      </c>
      <c r="O90" s="194"/>
      <c r="P90" s="194"/>
      <c r="Q90" s="194"/>
      <c r="R90" s="194"/>
      <c r="S90" s="53"/>
      <c r="T90" s="53"/>
      <c r="U90" s="53"/>
      <c r="V90" s="98" t="s">
        <v>136</v>
      </c>
      <c r="W90" s="192"/>
      <c r="X90" s="192"/>
      <c r="Y90" s="192"/>
      <c r="AR90" s="37"/>
      <c r="AS90" s="37"/>
      <c r="AT90" s="105"/>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row>
    <row r="91" spans="2:88" ht="15" customHeight="1" x14ac:dyDescent="0.3">
      <c r="C91" s="55"/>
      <c r="D91" s="2" t="s">
        <v>133</v>
      </c>
      <c r="E91" s="195"/>
      <c r="F91" s="195"/>
      <c r="G91" s="195"/>
      <c r="H91" s="195"/>
      <c r="I91" s="195"/>
      <c r="J91" s="195"/>
      <c r="K91" s="195"/>
      <c r="L91" s="195"/>
      <c r="M91" s="195"/>
      <c r="N91" s="195"/>
      <c r="O91" s="195"/>
      <c r="P91" s="195"/>
      <c r="Q91" s="195"/>
      <c r="R91" s="195"/>
      <c r="S91" s="195"/>
      <c r="T91" s="195"/>
      <c r="U91" s="195"/>
      <c r="V91" s="195"/>
      <c r="W91" s="195"/>
      <c r="X91" s="195"/>
      <c r="Y91" s="195"/>
      <c r="AR91" s="37"/>
      <c r="AS91" s="37"/>
      <c r="AT91" s="105"/>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row>
    <row r="92" spans="2:88" ht="15" customHeight="1" x14ac:dyDescent="0.3">
      <c r="D92" s="2" t="s">
        <v>137</v>
      </c>
      <c r="E92" s="191"/>
      <c r="F92" s="191"/>
      <c r="G92" s="191"/>
      <c r="H92" s="191"/>
      <c r="I92" s="191"/>
      <c r="U92" s="50"/>
      <c r="V92" s="50"/>
      <c r="W92" s="50"/>
      <c r="AR92" s="37"/>
      <c r="AS92" s="37"/>
      <c r="AT92" s="105"/>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row>
    <row r="93" spans="2:88" ht="15" customHeight="1" x14ac:dyDescent="0.3">
      <c r="D93" s="2"/>
      <c r="E93" s="53"/>
      <c r="F93" s="53"/>
      <c r="G93" s="53"/>
      <c r="H93" s="53"/>
      <c r="I93" s="53"/>
      <c r="U93" s="50"/>
      <c r="V93" s="50"/>
      <c r="W93" s="50"/>
      <c r="AR93" s="37"/>
      <c r="AS93" s="37"/>
      <c r="AT93" s="105"/>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row>
    <row r="94" spans="2:88" ht="15" customHeight="1" x14ac:dyDescent="0.3">
      <c r="D94" s="2" t="s">
        <v>164</v>
      </c>
      <c r="E94" s="66"/>
      <c r="F94" s="66"/>
      <c r="G94" s="66"/>
      <c r="H94" s="66"/>
      <c r="I94" s="66"/>
      <c r="J94" s="66"/>
      <c r="K94" s="66"/>
      <c r="L94" s="66"/>
      <c r="M94" s="66"/>
      <c r="N94" s="66"/>
      <c r="O94" s="66"/>
      <c r="P94" s="66"/>
      <c r="Q94" s="66"/>
      <c r="R94" s="66"/>
      <c r="S94" s="66"/>
      <c r="T94" s="66"/>
      <c r="U94" s="50"/>
      <c r="V94" s="50"/>
      <c r="W94" s="50"/>
      <c r="AB94" s="2" t="s">
        <v>158</v>
      </c>
      <c r="AC94" s="198"/>
      <c r="AD94" s="198"/>
      <c r="AE94" s="198"/>
      <c r="AF94" s="198"/>
      <c r="AG94" s="198"/>
      <c r="AR94" s="37"/>
      <c r="AS94" s="37"/>
      <c r="AT94" s="105"/>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row>
    <row r="95" spans="2:88" ht="15" customHeight="1" x14ac:dyDescent="0.3">
      <c r="AR95" s="37"/>
      <c r="AS95" s="37"/>
      <c r="AT95" s="105"/>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row>
    <row r="96" spans="2:88" ht="15" customHeight="1" x14ac:dyDescent="0.3">
      <c r="AR96" s="37"/>
      <c r="AS96" s="37"/>
      <c r="AT96" s="105"/>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row>
    <row r="97" spans="2:88" ht="15" customHeight="1" x14ac:dyDescent="0.3">
      <c r="AR97" s="37"/>
      <c r="AS97" s="37"/>
      <c r="AT97" s="105"/>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row>
    <row r="98" spans="2:88" ht="15" customHeight="1" x14ac:dyDescent="0.3">
      <c r="AR98" s="37"/>
      <c r="AS98" s="37"/>
      <c r="AT98" s="105"/>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row>
    <row r="99" spans="2:88" ht="15" customHeight="1" x14ac:dyDescent="0.3">
      <c r="AR99" s="37"/>
      <c r="AS99" s="37"/>
      <c r="AT99" s="105"/>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row>
    <row r="100" spans="2:88" ht="15" customHeight="1" x14ac:dyDescent="0.3">
      <c r="AR100" s="37"/>
      <c r="AS100" s="37"/>
      <c r="AT100" s="105"/>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row>
    <row r="101" spans="2:88" ht="15" customHeight="1" x14ac:dyDescent="0.3">
      <c r="AR101" s="37"/>
      <c r="AS101" s="37"/>
      <c r="AT101" s="105"/>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row>
    <row r="102" spans="2:88" ht="15" customHeight="1" x14ac:dyDescent="0.3">
      <c r="AR102" s="37"/>
      <c r="AS102" s="37"/>
      <c r="AT102" s="105"/>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row>
    <row r="103" spans="2:88" ht="15" customHeight="1" x14ac:dyDescent="0.3">
      <c r="AR103" s="37"/>
      <c r="AS103" s="37"/>
      <c r="AT103" s="105"/>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row>
    <row r="104" spans="2:88" ht="15" customHeight="1" x14ac:dyDescent="0.3">
      <c r="AR104" s="37"/>
      <c r="AS104" s="37"/>
      <c r="AT104" s="105"/>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row>
    <row r="105" spans="2:88" ht="15" customHeight="1" x14ac:dyDescent="0.3">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row>
    <row r="106" spans="2:88" ht="15" customHeight="1" x14ac:dyDescent="0.3">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row>
    <row r="107" spans="2:88" ht="15" customHeight="1" x14ac:dyDescent="0.3">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row>
    <row r="108" spans="2:88" ht="15" customHeight="1" x14ac:dyDescent="0.3">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row>
    <row r="109" spans="2:88" ht="15" customHeight="1" x14ac:dyDescent="0.3">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row>
    <row r="110" spans="2:88" ht="15" customHeight="1" x14ac:dyDescent="0.3">
      <c r="B110" s="177">
        <f>Tables!$F$13</f>
        <v>45931</v>
      </c>
      <c r="C110" s="177"/>
      <c r="D110" s="177"/>
      <c r="E110" s="177"/>
      <c r="F110" s="177"/>
      <c r="G110" s="177"/>
      <c r="H110" s="177"/>
      <c r="R110" s="197" t="s">
        <v>303</v>
      </c>
      <c r="S110" s="197"/>
      <c r="T110" s="197"/>
      <c r="U110" s="19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row>
    <row r="111" spans="2:88" ht="15" customHeight="1" x14ac:dyDescent="0.3">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row>
    <row r="112" spans="2:88" ht="15" customHeight="1" x14ac:dyDescent="0.3">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row>
    <row r="113" spans="44:88" ht="15" customHeight="1" x14ac:dyDescent="0.3">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row>
  </sheetData>
  <sheetProtection algorithmName="SHA-512" hashValue="62GfH67EY3WWJS+mPBMinHIL4HeqarE0RImZ2jCG8e0KoxDrD96oX9NPd4XMQzwcYXgdQHzCPfBi0vNASsKDJQ==" saltValue="8tvTAuUrvftdBKl4gpjcyg==" spinCount="100000" sheet="1" objects="1" scenarios="1" selectLockedCells="1"/>
  <mergeCells count="163">
    <mergeCell ref="B52:D52"/>
    <mergeCell ref="B30:D30"/>
    <mergeCell ref="B32:D32"/>
    <mergeCell ref="B34:D34"/>
    <mergeCell ref="B36:D36"/>
    <mergeCell ref="B38:D38"/>
    <mergeCell ref="B40:D40"/>
    <mergeCell ref="B42:D42"/>
    <mergeCell ref="B44:D44"/>
    <mergeCell ref="B46:D46"/>
    <mergeCell ref="B23:D23"/>
    <mergeCell ref="F23:H23"/>
    <mergeCell ref="F24:H24"/>
    <mergeCell ref="F26:H26"/>
    <mergeCell ref="F28:H28"/>
    <mergeCell ref="F30:H30"/>
    <mergeCell ref="F32:H32"/>
    <mergeCell ref="F34:H34"/>
    <mergeCell ref="R26:T26"/>
    <mergeCell ref="R24:T24"/>
    <mergeCell ref="K34:M34"/>
    <mergeCell ref="K32:M32"/>
    <mergeCell ref="K30:M30"/>
    <mergeCell ref="K28:M28"/>
    <mergeCell ref="N34:O34"/>
    <mergeCell ref="N32:O32"/>
    <mergeCell ref="N28:O28"/>
    <mergeCell ref="R30:T30"/>
    <mergeCell ref="R28:T28"/>
    <mergeCell ref="K23:M23"/>
    <mergeCell ref="R23:T23"/>
    <mergeCell ref="B24:D24"/>
    <mergeCell ref="B26:D26"/>
    <mergeCell ref="B28:D28"/>
    <mergeCell ref="F36:H36"/>
    <mergeCell ref="R34:T34"/>
    <mergeCell ref="R32:T32"/>
    <mergeCell ref="Y24:AA24"/>
    <mergeCell ref="U32:V32"/>
    <mergeCell ref="U34:V34"/>
    <mergeCell ref="U28:V28"/>
    <mergeCell ref="Y34:AA34"/>
    <mergeCell ref="N26:O26"/>
    <mergeCell ref="U26:V26"/>
    <mergeCell ref="N24:O24"/>
    <mergeCell ref="N30:O30"/>
    <mergeCell ref="U30:V30"/>
    <mergeCell ref="BD1:BZ4"/>
    <mergeCell ref="AR6:BF7"/>
    <mergeCell ref="E7:Y7"/>
    <mergeCell ref="AE7:AJ7"/>
    <mergeCell ref="E8:Y8"/>
    <mergeCell ref="T9:Y9"/>
    <mergeCell ref="N1:AK4"/>
    <mergeCell ref="AB24:AC24"/>
    <mergeCell ref="AB26:AC26"/>
    <mergeCell ref="AB28:AC28"/>
    <mergeCell ref="AB30:AC30"/>
    <mergeCell ref="Y22:AA22"/>
    <mergeCell ref="R22:T22"/>
    <mergeCell ref="AE10:AJ10"/>
    <mergeCell ref="Y30:AA30"/>
    <mergeCell ref="Y28:AA28"/>
    <mergeCell ref="Y26:AA26"/>
    <mergeCell ref="T10:Y10"/>
    <mergeCell ref="U24:V24"/>
    <mergeCell ref="F38:H38"/>
    <mergeCell ref="F40:H40"/>
    <mergeCell ref="K54:M54"/>
    <mergeCell ref="N54:O54"/>
    <mergeCell ref="AH14:AI14"/>
    <mergeCell ref="AH12:AI12"/>
    <mergeCell ref="Y52:AA52"/>
    <mergeCell ref="Y50:AA50"/>
    <mergeCell ref="Y48:AA48"/>
    <mergeCell ref="Y46:AA46"/>
    <mergeCell ref="Y44:AA44"/>
    <mergeCell ref="Y42:AA42"/>
    <mergeCell ref="Y40:AA40"/>
    <mergeCell ref="Y38:AA38"/>
    <mergeCell ref="Y36:AA36"/>
    <mergeCell ref="Y23:AA23"/>
    <mergeCell ref="U54:V54"/>
    <mergeCell ref="R54:T54"/>
    <mergeCell ref="K26:M26"/>
    <mergeCell ref="F42:H42"/>
    <mergeCell ref="K42:M42"/>
    <mergeCell ref="K22:M22"/>
    <mergeCell ref="Y32:AA32"/>
    <mergeCell ref="K24:M24"/>
    <mergeCell ref="K40:M40"/>
    <mergeCell ref="K38:M38"/>
    <mergeCell ref="K36:M36"/>
    <mergeCell ref="R42:T42"/>
    <mergeCell ref="R40:T40"/>
    <mergeCell ref="R38:T38"/>
    <mergeCell ref="U40:V40"/>
    <mergeCell ref="N42:O42"/>
    <mergeCell ref="U42:V42"/>
    <mergeCell ref="N40:O40"/>
    <mergeCell ref="N38:O38"/>
    <mergeCell ref="U38:V38"/>
    <mergeCell ref="N36:O36"/>
    <mergeCell ref="U36:V36"/>
    <mergeCell ref="R36:T36"/>
    <mergeCell ref="N46:O46"/>
    <mergeCell ref="U46:V46"/>
    <mergeCell ref="N44:O44"/>
    <mergeCell ref="U44:V44"/>
    <mergeCell ref="F44:H44"/>
    <mergeCell ref="F46:H46"/>
    <mergeCell ref="F48:H48"/>
    <mergeCell ref="K48:M48"/>
    <mergeCell ref="K46:M46"/>
    <mergeCell ref="K44:M44"/>
    <mergeCell ref="R48:T48"/>
    <mergeCell ref="R46:T46"/>
    <mergeCell ref="R44:T44"/>
    <mergeCell ref="U48:V48"/>
    <mergeCell ref="N50:O50"/>
    <mergeCell ref="U50:V50"/>
    <mergeCell ref="N48:O48"/>
    <mergeCell ref="R50:T50"/>
    <mergeCell ref="B67:AJ80"/>
    <mergeCell ref="B63:H63"/>
    <mergeCell ref="R63:U63"/>
    <mergeCell ref="D64:Y64"/>
    <mergeCell ref="AE64:AJ64"/>
    <mergeCell ref="N52:O52"/>
    <mergeCell ref="U52:V52"/>
    <mergeCell ref="F50:H50"/>
    <mergeCell ref="F52:H52"/>
    <mergeCell ref="K52:M52"/>
    <mergeCell ref="K50:M50"/>
    <mergeCell ref="R52:T52"/>
    <mergeCell ref="Y54:AA54"/>
    <mergeCell ref="AB50:AC50"/>
    <mergeCell ref="AB52:AC52"/>
    <mergeCell ref="AB54:AC54"/>
    <mergeCell ref="R55:T55"/>
    <mergeCell ref="Y55:AA55"/>
    <mergeCell ref="B48:D48"/>
    <mergeCell ref="B50:D50"/>
    <mergeCell ref="E91:Y91"/>
    <mergeCell ref="E92:I92"/>
    <mergeCell ref="AC94:AG94"/>
    <mergeCell ref="B110:H110"/>
    <mergeCell ref="R110:U110"/>
    <mergeCell ref="E87:Y87"/>
    <mergeCell ref="E88:Y88"/>
    <mergeCell ref="E89:Y89"/>
    <mergeCell ref="E90:K90"/>
    <mergeCell ref="O90:R90"/>
    <mergeCell ref="W90:Y90"/>
    <mergeCell ref="AB32:AC32"/>
    <mergeCell ref="AB34:AC34"/>
    <mergeCell ref="AB36:AC36"/>
    <mergeCell ref="AB38:AC38"/>
    <mergeCell ref="AB40:AC40"/>
    <mergeCell ref="AB42:AC42"/>
    <mergeCell ref="AB44:AC44"/>
    <mergeCell ref="AB46:AC46"/>
    <mergeCell ref="AB48:AC48"/>
  </mergeCells>
  <conditionalFormatting sqref="B16">
    <cfRule type="expression" dxfId="169" priority="856">
      <formula>$AN$16=2</formula>
    </cfRule>
    <cfRule type="expression" dxfId="168" priority="854">
      <formula>$AP$16=3</formula>
    </cfRule>
    <cfRule type="expression" dxfId="167" priority="855">
      <formula>$AM$16=1</formula>
    </cfRule>
  </conditionalFormatting>
  <conditionalFormatting sqref="B18">
    <cfRule type="expression" dxfId="166" priority="859">
      <formula>$AN$18=2</formula>
    </cfRule>
    <cfRule type="expression" dxfId="165" priority="858">
      <formula>$AM$18=1</formula>
    </cfRule>
    <cfRule type="expression" dxfId="164" priority="857">
      <formula>$AP$18=3</formula>
    </cfRule>
  </conditionalFormatting>
  <conditionalFormatting sqref="B20">
    <cfRule type="expression" dxfId="163" priority="861">
      <formula>$AM$20=1</formula>
    </cfRule>
    <cfRule type="expression" dxfId="162" priority="862">
      <formula>$AN$20=2</formula>
    </cfRule>
    <cfRule type="expression" dxfId="161" priority="860">
      <formula>$AP$20=3</formula>
    </cfRule>
  </conditionalFormatting>
  <conditionalFormatting sqref="B67:AJ80">
    <cfRule type="cellIs" priority="188" stopIfTrue="1" operator="greaterThan">
      <formula>0</formula>
    </cfRule>
    <cfRule type="expression" dxfId="160" priority="189">
      <formula>$AM$67=2</formula>
    </cfRule>
  </conditionalFormatting>
  <conditionalFormatting sqref="D64">
    <cfRule type="cellIs" dxfId="159" priority="162" operator="equal">
      <formula>0</formula>
    </cfRule>
  </conditionalFormatting>
  <conditionalFormatting sqref="E16">
    <cfRule type="expression" dxfId="158" priority="866">
      <formula>$AP$16=3</formula>
    </cfRule>
    <cfRule type="expression" dxfId="157" priority="865">
      <formula>$AM$16=1</formula>
    </cfRule>
  </conditionalFormatting>
  <conditionalFormatting sqref="E18">
    <cfRule type="expression" dxfId="156" priority="868">
      <formula>$AP$18=3</formula>
    </cfRule>
    <cfRule type="expression" dxfId="155" priority="867">
      <formula>$AM$18=1</formula>
    </cfRule>
  </conditionalFormatting>
  <conditionalFormatting sqref="E20">
    <cfRule type="expression" dxfId="154" priority="870">
      <formula>$AP$20=3</formula>
    </cfRule>
    <cfRule type="expression" dxfId="153" priority="869">
      <formula>$AM$20=1</formula>
    </cfRule>
  </conditionalFormatting>
  <conditionalFormatting sqref="E87:E88">
    <cfRule type="expression" dxfId="152" priority="170">
      <formula>ISBLANK(E87)</formula>
    </cfRule>
  </conditionalFormatting>
  <conditionalFormatting sqref="E90:E92">
    <cfRule type="expression" dxfId="151" priority="165">
      <formula>ISBLANK(E90)</formula>
    </cfRule>
  </conditionalFormatting>
  <conditionalFormatting sqref="E89:Y89">
    <cfRule type="expression" dxfId="150" priority="168">
      <formula>ISBLANK(E89)</formula>
    </cfRule>
  </conditionalFormatting>
  <conditionalFormatting sqref="F10 I10">
    <cfRule type="expression" dxfId="149" priority="1218">
      <formula>$AP$10=3</formula>
    </cfRule>
    <cfRule type="expression" dxfId="148" priority="1219">
      <formula>$AM$10=0</formula>
    </cfRule>
  </conditionalFormatting>
  <conditionalFormatting sqref="F12">
    <cfRule type="expression" dxfId="147" priority="181">
      <formula>ISBLANK(F12)</formula>
    </cfRule>
  </conditionalFormatting>
  <conditionalFormatting sqref="F14">
    <cfRule type="expression" dxfId="146" priority="32">
      <formula>ISBLANK(F14)</formula>
    </cfRule>
  </conditionalFormatting>
  <conditionalFormatting sqref="F23:H23">
    <cfRule type="expression" dxfId="145" priority="3">
      <formula>$AO$14=3</formula>
    </cfRule>
    <cfRule type="expression" dxfId="144" priority="2">
      <formula>$AO$14=0</formula>
    </cfRule>
  </conditionalFormatting>
  <conditionalFormatting sqref="K24 R24 Y24 K26 R26 Y26 K28 R28 Y28 K30 R30 Y30 K32 R32 Y32 K34 R34 Y34 K36 R36 Y36 K38 R38 Y38 K40 R40 Y40 K42 R42 Y42 K44 R44 Y44 K46 R46 Y46 K48 R48 Y48 K50 R50 Y50 K52 R52 Y52">
    <cfRule type="expression" dxfId="143" priority="1032">
      <formula>$AQ$10=1</formula>
    </cfRule>
    <cfRule type="expression" dxfId="142" priority="1033">
      <formula>$AQ$10=2</formula>
    </cfRule>
  </conditionalFormatting>
  <conditionalFormatting sqref="K22:M22">
    <cfRule type="expression" dxfId="141" priority="12">
      <formula>$AO$14=0</formula>
    </cfRule>
    <cfRule type="expression" dxfId="140" priority="13">
      <formula>$AO$14=3</formula>
    </cfRule>
  </conditionalFormatting>
  <conditionalFormatting sqref="K54:M54">
    <cfRule type="expression" dxfId="139" priority="1214">
      <formula>$AN$10=1</formula>
    </cfRule>
    <cfRule type="expression" dxfId="138" priority="1215">
      <formula>$AO$10=2</formula>
    </cfRule>
    <cfRule type="cellIs" priority="1216" stopIfTrue="1" operator="greaterThan">
      <formula>0</formula>
    </cfRule>
    <cfRule type="cellIs" dxfId="137" priority="1217" operator="equal">
      <formula>0</formula>
    </cfRule>
  </conditionalFormatting>
  <conditionalFormatting sqref="N24 U24 N26 U26 N28 U28 N30 U30 AB30 N32 U32 AB32 N34 U34 AB34 N36 U36 AB36 N38 U38 AB38 N40 U40 AB40 N42 U42 AB42 N44 U44 AB44 N46 U46 AB46 N48 U48 AB48 N50 U50 AB50 N52 U52 AB52 N54 AB54">
    <cfRule type="expression" dxfId="136" priority="1152">
      <formula>$AM$10=0</formula>
    </cfRule>
    <cfRule type="expression" dxfId="135" priority="1153">
      <formula>$AQ$10=3</formula>
    </cfRule>
  </conditionalFormatting>
  <conditionalFormatting sqref="O90">
    <cfRule type="expression" dxfId="134" priority="166">
      <formula>ISBLANK(O90)</formula>
    </cfRule>
  </conditionalFormatting>
  <conditionalFormatting sqref="R54">
    <cfRule type="cellIs" dxfId="133" priority="121" operator="equal">
      <formula>0</formula>
    </cfRule>
    <cfRule type="cellIs" priority="120" stopIfTrue="1" operator="greaterThan">
      <formula>0</formula>
    </cfRule>
  </conditionalFormatting>
  <conditionalFormatting sqref="R54:T54">
    <cfRule type="expression" dxfId="132" priority="34">
      <formula>$AQ$10=1</formula>
    </cfRule>
    <cfRule type="expression" dxfId="131" priority="33">
      <formula>$AQ$10=2</formula>
    </cfRule>
  </conditionalFormatting>
  <conditionalFormatting sqref="R55:T55">
    <cfRule type="cellIs" dxfId="130" priority="17" operator="equal">
      <formula>0</formula>
    </cfRule>
  </conditionalFormatting>
  <conditionalFormatting sqref="U54">
    <cfRule type="expression" dxfId="129" priority="39">
      <formula>$AM$10=0</formula>
    </cfRule>
    <cfRule type="expression" dxfId="128" priority="40">
      <formula>$AQ$10=3</formula>
    </cfRule>
  </conditionalFormatting>
  <conditionalFormatting sqref="V12 V14">
    <cfRule type="expression" dxfId="127" priority="900">
      <formula>$AM$12=0</formula>
    </cfRule>
    <cfRule type="expression" dxfId="126" priority="899">
      <formula>$AP$12=3</formula>
    </cfRule>
  </conditionalFormatting>
  <conditionalFormatting sqref="W90">
    <cfRule type="expression" dxfId="125" priority="167">
      <formula>ISBLANK(W90)</formula>
    </cfRule>
  </conditionalFormatting>
  <conditionalFormatting sqref="Y54">
    <cfRule type="cellIs" dxfId="124" priority="21" operator="equal">
      <formula>0</formula>
    </cfRule>
    <cfRule type="cellIs" priority="20" stopIfTrue="1" operator="greaterThan">
      <formula>0</formula>
    </cfRule>
  </conditionalFormatting>
  <conditionalFormatting sqref="Y54:AA54">
    <cfRule type="expression" dxfId="123" priority="19">
      <formula>$AQ$10=1</formula>
    </cfRule>
    <cfRule type="expression" dxfId="122" priority="18">
      <formula>$AQ$10=2</formula>
    </cfRule>
  </conditionalFormatting>
  <conditionalFormatting sqref="Y55:AA55">
    <cfRule type="cellIs" dxfId="121" priority="11" operator="equal">
      <formula>0</formula>
    </cfRule>
  </conditionalFormatting>
  <conditionalFormatting sqref="AB24">
    <cfRule type="expression" dxfId="120" priority="31">
      <formula>$AQ$10=3</formula>
    </cfRule>
    <cfRule type="expression" dxfId="119" priority="30">
      <formula>$AM$10=0</formula>
    </cfRule>
  </conditionalFormatting>
  <conditionalFormatting sqref="AB26">
    <cfRule type="expression" dxfId="118" priority="29">
      <formula>$AQ$10=3</formula>
    </cfRule>
    <cfRule type="expression" dxfId="117" priority="28">
      <formula>$AM$10=0</formula>
    </cfRule>
  </conditionalFormatting>
  <conditionalFormatting sqref="AB28">
    <cfRule type="expression" dxfId="116" priority="27">
      <formula>$AQ$10=3</formula>
    </cfRule>
    <cfRule type="expression" dxfId="115" priority="26">
      <formula>$AM$10=0</formula>
    </cfRule>
  </conditionalFormatting>
  <conditionalFormatting sqref="AC94">
    <cfRule type="expression" dxfId="114" priority="169">
      <formula>ISBLANK(AC94)</formula>
    </cfRule>
  </conditionalFormatting>
  <conditionalFormatting sqref="AE24 AH24 AE26 AH26 AE28 AH28 AE30 AH30 AE32 AH32 AE34 AH34 AE36 AH36 AE38 AH38 AE40 AH40 AE42 AH42 AE44 AH44 AE46 AH46 AE48 AH48 AE50 AH50 AE52 AH52">
    <cfRule type="expression" priority="1452" stopIfTrue="1">
      <formula>$AN24=1</formula>
    </cfRule>
    <cfRule type="expression" dxfId="113" priority="1453">
      <formula>$AM24=2</formula>
    </cfRule>
  </conditionalFormatting>
  <conditionalFormatting sqref="AE7:AJ7 E7:Y8 T9:Y10 AE10:AJ10">
    <cfRule type="cellIs" dxfId="112" priority="8" operator="equal">
      <formula>0</formula>
    </cfRule>
  </conditionalFormatting>
  <conditionalFormatting sqref="AE64:AJ64">
    <cfRule type="cellIs" dxfId="111" priority="161" operator="equal">
      <formula>0</formula>
    </cfRule>
  </conditionalFormatting>
  <conditionalFormatting sqref="AH12">
    <cfRule type="cellIs" priority="897" stopIfTrue="1" operator="greaterThan">
      <formula>0</formula>
    </cfRule>
    <cfRule type="expression" dxfId="110" priority="898">
      <formula>$AN$12=1</formula>
    </cfRule>
  </conditionalFormatting>
  <conditionalFormatting sqref="AH14">
    <cfRule type="cellIs" priority="903" stopIfTrue="1" operator="greaterThan">
      <formula>0</formula>
    </cfRule>
    <cfRule type="expression" dxfId="109" priority="904">
      <formula>$AO$12=1</formula>
    </cfRule>
  </conditionalFormatting>
  <conditionalFormatting sqref="AH24 AH26 AH28 AH30 AH32 AH34 AH36 AH38 AH40 AH42 AH44 AH46 AH48 AH50 AH52 AE24 AE26 AE28 AE30 AE32 AE34 AE36 AE38 AE40 AE42 AE44 AE46 AE48 AE50 AE52">
    <cfRule type="expression" dxfId="108" priority="1451">
      <formula>$AP24=3</formula>
    </cfRule>
  </conditionalFormatting>
  <conditionalFormatting sqref="AH24 AH26 AH28 AH30 AH32 AH34 AH36 AH38 AH40 AH42 AH44 AH46 AH48 AH50 AH52">
    <cfRule type="expression" dxfId="107" priority="4">
      <formula>$AO24=2</formula>
    </cfRule>
  </conditionalFormatting>
  <printOptions horizontalCentered="1"/>
  <pageMargins left="0.25" right="0.25" top="0.25" bottom="0.25" header="0.3" footer="0.3"/>
  <pageSetup orientation="portrait" horizontalDpi="1200" verticalDpi="1200" r:id="rId1"/>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8E58AC2F-F731-45BC-8177-D22B32B57717}">
          <x14:formula1>
            <xm:f>Tables!$B$8</xm:f>
          </x14:formula1>
          <xm:sqref>A8:AC8 A9:AL1048576 AK1:AL8 A1:AJ7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C2E40-779F-4ADC-9DBC-41371F4FD686}">
  <sheetPr codeName="Sheet2">
    <tabColor theme="8" tint="0.39997558519241921"/>
  </sheetPr>
  <dimension ref="A1:CG232"/>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1" width="2.33203125" style="4" customWidth="1"/>
    <col min="2" max="9" width="2.77734375" style="4" customWidth="1"/>
    <col min="10" max="10" width="1.77734375" style="4" customWidth="1"/>
    <col min="11" max="11" width="2.77734375" style="4" customWidth="1"/>
    <col min="12" max="12" width="3.77734375" style="4" customWidth="1"/>
    <col min="13" max="20" width="2.77734375" style="4" customWidth="1"/>
    <col min="21" max="21" width="1.77734375" style="4" customWidth="1"/>
    <col min="22" max="26" width="2.77734375" style="4" customWidth="1"/>
    <col min="27" max="27" width="1.77734375" style="4" customWidth="1"/>
    <col min="28" max="35" width="2.77734375" style="4" customWidth="1"/>
    <col min="36" max="36" width="1.77734375" style="4" customWidth="1"/>
    <col min="37" max="38" width="2.77734375" style="4" customWidth="1"/>
    <col min="39" max="39" width="10.33203125" style="42" hidden="1" customWidth="1"/>
    <col min="40" max="40" width="9.21875" style="42" hidden="1" customWidth="1"/>
    <col min="41" max="41" width="9" style="75" hidden="1" customWidth="1"/>
    <col min="42" max="44" width="10" style="75" hidden="1" customWidth="1"/>
    <col min="45" max="46" width="11.21875" style="75" hidden="1" customWidth="1"/>
    <col min="47" max="47" width="3.77734375" style="4" customWidth="1"/>
    <col min="48" max="48" width="3.77734375" style="47" customWidth="1"/>
    <col min="49" max="50" width="3.77734375" style="4" customWidth="1"/>
    <col min="51" max="81" width="2.77734375" style="4" customWidth="1"/>
    <col min="82" max="16384" width="8.88671875" style="4" hidden="1"/>
  </cols>
  <sheetData>
    <row r="1" spans="1:85" ht="15" customHeight="1" x14ac:dyDescent="0.3">
      <c r="P1" s="5"/>
      <c r="Q1" s="5"/>
      <c r="R1" s="5"/>
      <c r="S1" s="5"/>
      <c r="T1" s="5"/>
      <c r="U1" s="213" t="s">
        <v>49</v>
      </c>
      <c r="V1" s="213"/>
      <c r="W1" s="213"/>
      <c r="X1" s="213"/>
      <c r="Y1" s="213"/>
      <c r="Z1" s="213"/>
      <c r="AA1" s="213"/>
      <c r="AB1" s="213"/>
      <c r="AC1" s="213"/>
      <c r="AD1" s="213"/>
      <c r="AE1" s="213"/>
      <c r="AF1" s="213"/>
      <c r="AG1" s="213"/>
      <c r="AH1" s="213"/>
      <c r="AI1" s="213"/>
      <c r="AJ1" s="213"/>
      <c r="AK1" s="213"/>
      <c r="AL1" s="213"/>
      <c r="BJ1" s="213" t="s">
        <v>49</v>
      </c>
      <c r="BK1" s="213"/>
      <c r="BL1" s="213"/>
      <c r="BM1" s="213"/>
      <c r="BN1" s="213"/>
      <c r="BO1" s="213"/>
      <c r="BP1" s="213"/>
      <c r="BQ1" s="213"/>
      <c r="BR1" s="213"/>
      <c r="BS1" s="213"/>
      <c r="BT1" s="213"/>
      <c r="BU1" s="213"/>
      <c r="BV1" s="213"/>
      <c r="BW1" s="213"/>
      <c r="BX1" s="213"/>
      <c r="BY1" s="213"/>
      <c r="BZ1" s="213"/>
      <c r="CA1" s="213"/>
      <c r="CB1" s="213"/>
      <c r="CC1" s="22"/>
      <c r="CD1" s="22"/>
      <c r="CE1" s="22"/>
      <c r="CF1" s="22"/>
      <c r="CG1" s="22"/>
    </row>
    <row r="2" spans="1:85" ht="15" customHeight="1" x14ac:dyDescent="0.3">
      <c r="K2" s="5"/>
      <c r="L2" s="5"/>
      <c r="M2" s="5"/>
      <c r="N2" s="5"/>
      <c r="O2" s="5"/>
      <c r="P2" s="5"/>
      <c r="Q2" s="5"/>
      <c r="R2" s="5"/>
      <c r="S2" s="5"/>
      <c r="T2" s="5"/>
      <c r="U2" s="213"/>
      <c r="V2" s="213"/>
      <c r="W2" s="213"/>
      <c r="X2" s="213"/>
      <c r="Y2" s="213"/>
      <c r="Z2" s="213"/>
      <c r="AA2" s="213"/>
      <c r="AB2" s="213"/>
      <c r="AC2" s="213"/>
      <c r="AD2" s="213"/>
      <c r="AE2" s="213"/>
      <c r="AF2" s="213"/>
      <c r="AG2" s="213"/>
      <c r="AH2" s="213"/>
      <c r="AI2" s="213"/>
      <c r="AJ2" s="213"/>
      <c r="AK2" s="213"/>
      <c r="AL2" s="213"/>
      <c r="BI2" s="22"/>
      <c r="BJ2" s="213"/>
      <c r="BK2" s="213"/>
      <c r="BL2" s="213"/>
      <c r="BM2" s="213"/>
      <c r="BN2" s="213"/>
      <c r="BO2" s="213"/>
      <c r="BP2" s="213"/>
      <c r="BQ2" s="213"/>
      <c r="BR2" s="213"/>
      <c r="BS2" s="213"/>
      <c r="BT2" s="213"/>
      <c r="BU2" s="213"/>
      <c r="BV2" s="213"/>
      <c r="BW2" s="213"/>
      <c r="BX2" s="213"/>
      <c r="BY2" s="213"/>
      <c r="BZ2" s="213"/>
      <c r="CA2" s="213"/>
      <c r="CB2" s="213"/>
      <c r="CC2" s="22"/>
      <c r="CD2" s="22"/>
      <c r="CE2" s="22"/>
      <c r="CF2" s="22"/>
      <c r="CG2" s="22"/>
    </row>
    <row r="3" spans="1:85" ht="15" customHeight="1" x14ac:dyDescent="0.3">
      <c r="K3" s="5"/>
      <c r="L3" s="5"/>
      <c r="M3" s="5"/>
      <c r="N3" s="5"/>
      <c r="O3" s="5"/>
      <c r="P3" s="5"/>
      <c r="Q3" s="5"/>
      <c r="R3" s="5"/>
      <c r="S3" s="5"/>
      <c r="T3" s="5"/>
      <c r="U3" s="213"/>
      <c r="V3" s="213"/>
      <c r="W3" s="213"/>
      <c r="X3" s="213"/>
      <c r="Y3" s="213"/>
      <c r="Z3" s="213"/>
      <c r="AA3" s="213"/>
      <c r="AB3" s="213"/>
      <c r="AC3" s="213"/>
      <c r="AD3" s="213"/>
      <c r="AE3" s="213"/>
      <c r="AF3" s="213"/>
      <c r="AG3" s="213"/>
      <c r="AH3" s="213"/>
      <c r="AI3" s="213"/>
      <c r="AJ3" s="213"/>
      <c r="AK3" s="213"/>
      <c r="AL3" s="213"/>
      <c r="BI3" s="22"/>
      <c r="BJ3" s="213"/>
      <c r="BK3" s="213"/>
      <c r="BL3" s="213"/>
      <c r="BM3" s="213"/>
      <c r="BN3" s="213"/>
      <c r="BO3" s="213"/>
      <c r="BP3" s="213"/>
      <c r="BQ3" s="213"/>
      <c r="BR3" s="213"/>
      <c r="BS3" s="213"/>
      <c r="BT3" s="213"/>
      <c r="BU3" s="213"/>
      <c r="BV3" s="213"/>
      <c r="BW3" s="213"/>
      <c r="BX3" s="213"/>
      <c r="BY3" s="213"/>
      <c r="BZ3" s="213"/>
      <c r="CA3" s="213"/>
      <c r="CB3" s="213"/>
      <c r="CC3" s="22"/>
      <c r="CD3" s="22"/>
      <c r="CE3" s="22"/>
      <c r="CF3" s="22"/>
      <c r="CG3" s="22"/>
    </row>
    <row r="4" spans="1:85" ht="15" customHeight="1" x14ac:dyDescent="0.3">
      <c r="K4" s="5"/>
      <c r="L4" s="5"/>
      <c r="M4" s="5"/>
      <c r="N4" s="5"/>
      <c r="O4" s="5"/>
      <c r="P4" s="5"/>
      <c r="Q4" s="5"/>
      <c r="R4" s="5"/>
      <c r="S4" s="5"/>
      <c r="T4" s="5"/>
      <c r="U4" s="213"/>
      <c r="V4" s="213"/>
      <c r="W4" s="213"/>
      <c r="X4" s="213"/>
      <c r="Y4" s="213"/>
      <c r="Z4" s="213"/>
      <c r="AA4" s="213"/>
      <c r="AB4" s="213"/>
      <c r="AC4" s="213"/>
      <c r="AD4" s="213"/>
      <c r="AE4" s="213"/>
      <c r="AF4" s="213"/>
      <c r="AG4" s="213"/>
      <c r="AH4" s="213"/>
      <c r="AI4" s="213"/>
      <c r="AJ4" s="213"/>
      <c r="AK4" s="213"/>
      <c r="AL4" s="213"/>
      <c r="BJ4" s="213"/>
      <c r="BK4" s="213"/>
      <c r="BL4" s="213"/>
      <c r="BM4" s="213"/>
      <c r="BN4" s="213"/>
      <c r="BO4" s="213"/>
      <c r="BP4" s="213"/>
      <c r="BQ4" s="213"/>
      <c r="BR4" s="213"/>
      <c r="BS4" s="213"/>
      <c r="BT4" s="213"/>
      <c r="BU4" s="213"/>
      <c r="BV4" s="213"/>
      <c r="BW4" s="213"/>
      <c r="BX4" s="213"/>
      <c r="BY4" s="213"/>
      <c r="BZ4" s="213"/>
      <c r="CA4" s="213"/>
      <c r="CB4" s="213"/>
      <c r="CC4" s="22"/>
      <c r="CD4" s="22"/>
      <c r="CE4" s="22"/>
      <c r="CF4" s="22"/>
      <c r="CG4" s="22"/>
    </row>
    <row r="5" spans="1:85" ht="4.95" customHeight="1" x14ac:dyDescent="0.3">
      <c r="K5" s="5"/>
      <c r="L5" s="5"/>
      <c r="M5" s="5"/>
      <c r="N5" s="5"/>
      <c r="O5" s="5"/>
      <c r="P5" s="5"/>
      <c r="Q5" s="5"/>
      <c r="R5" s="5"/>
      <c r="S5" s="5"/>
      <c r="T5" s="5"/>
      <c r="U5" s="11"/>
      <c r="V5" s="11"/>
      <c r="W5" s="11"/>
      <c r="X5" s="11"/>
      <c r="Y5" s="11"/>
      <c r="Z5" s="11"/>
      <c r="AA5" s="11"/>
      <c r="AB5" s="11"/>
      <c r="AC5" s="11"/>
      <c r="AD5" s="11"/>
      <c r="AE5" s="11"/>
      <c r="AF5" s="11"/>
      <c r="AG5" s="11"/>
      <c r="AH5" s="11"/>
      <c r="AI5" s="11"/>
      <c r="AJ5" s="11"/>
      <c r="AK5" s="11"/>
      <c r="AL5" s="11"/>
      <c r="BJ5" s="11"/>
      <c r="BK5" s="11"/>
      <c r="BL5" s="11"/>
      <c r="BM5" s="11"/>
      <c r="BN5" s="11"/>
      <c r="BO5" s="11"/>
      <c r="BP5" s="11"/>
      <c r="BQ5" s="11"/>
      <c r="BR5" s="11"/>
      <c r="BS5" s="11"/>
      <c r="BT5" s="11"/>
      <c r="BU5" s="11"/>
      <c r="BV5" s="11"/>
      <c r="BW5" s="11"/>
      <c r="BX5" s="11"/>
      <c r="BY5" s="11"/>
      <c r="BZ5" s="11"/>
      <c r="CA5" s="11"/>
      <c r="CB5" s="11"/>
      <c r="CC5" s="22"/>
      <c r="CD5" s="22"/>
      <c r="CE5" s="22"/>
      <c r="CF5" s="22"/>
      <c r="CG5" s="22"/>
    </row>
    <row r="6" spans="1:85" ht="15" customHeight="1" x14ac:dyDescent="0.3">
      <c r="B6" s="1" t="s">
        <v>0</v>
      </c>
      <c r="C6" s="1"/>
      <c r="D6" s="1"/>
      <c r="E6" s="1"/>
      <c r="F6" s="1"/>
      <c r="G6" s="1"/>
      <c r="H6" s="1"/>
      <c r="I6" s="1"/>
      <c r="J6" s="1"/>
      <c r="AD6" s="2" t="s">
        <v>381</v>
      </c>
      <c r="AE6" s="260">
        <f>'From 2A.1 - Design'!AD6</f>
        <v>0</v>
      </c>
      <c r="AF6" s="260"/>
      <c r="AG6" s="260"/>
      <c r="AH6" s="260"/>
      <c r="AI6" s="260"/>
      <c r="AJ6" s="260"/>
      <c r="AK6" s="260"/>
      <c r="AM6" s="90">
        <f>LEN(AE6)</f>
        <v>1</v>
      </c>
      <c r="AV6" s="216" t="s">
        <v>63</v>
      </c>
      <c r="AW6" s="216"/>
      <c r="AX6" s="216"/>
      <c r="AY6" s="216"/>
      <c r="AZ6" s="216"/>
      <c r="BA6" s="216"/>
      <c r="BB6" s="216"/>
      <c r="BC6" s="216"/>
      <c r="BD6" s="216"/>
      <c r="BE6" s="216"/>
      <c r="BF6" s="216"/>
      <c r="BG6" s="216"/>
      <c r="BH6" s="216"/>
      <c r="BI6" s="216"/>
      <c r="BJ6" s="36"/>
      <c r="BK6" s="36"/>
      <c r="BL6" s="36"/>
      <c r="BM6" s="36"/>
      <c r="BN6" s="36"/>
      <c r="BO6" s="36"/>
      <c r="BP6" s="36"/>
      <c r="BQ6" s="36"/>
      <c r="BR6" s="36"/>
      <c r="BS6" s="36"/>
      <c r="BT6" s="36"/>
      <c r="BU6" s="36"/>
      <c r="BV6" s="36"/>
      <c r="BW6" s="36"/>
      <c r="BX6" s="36"/>
      <c r="BY6" s="36"/>
      <c r="BZ6" s="36"/>
      <c r="CA6" s="36"/>
      <c r="CB6" s="36"/>
      <c r="CC6" s="36"/>
    </row>
    <row r="7" spans="1:85" ht="15" customHeight="1" x14ac:dyDescent="0.3">
      <c r="C7" s="2"/>
      <c r="D7" s="2" t="s">
        <v>131</v>
      </c>
      <c r="E7" s="180">
        <f>'From 2A.1 - Design'!E7</f>
        <v>0</v>
      </c>
      <c r="F7" s="180"/>
      <c r="G7" s="180"/>
      <c r="H7" s="180"/>
      <c r="I7" s="180"/>
      <c r="J7" s="180"/>
      <c r="K7" s="180"/>
      <c r="L7" s="180"/>
      <c r="M7" s="180"/>
      <c r="N7" s="180"/>
      <c r="O7" s="180"/>
      <c r="P7" s="180"/>
      <c r="Q7" s="180"/>
      <c r="R7" s="180"/>
      <c r="S7" s="180"/>
      <c r="T7" s="180"/>
      <c r="U7" s="180"/>
      <c r="V7" s="180"/>
      <c r="W7" s="180"/>
      <c r="X7" s="180"/>
      <c r="Y7" s="180"/>
      <c r="Z7" s="180"/>
      <c r="AE7" s="2" t="s">
        <v>158</v>
      </c>
      <c r="AF7" s="247"/>
      <c r="AG7" s="247"/>
      <c r="AH7" s="247"/>
      <c r="AI7" s="247"/>
      <c r="AJ7" s="247"/>
      <c r="AK7" s="247"/>
      <c r="AV7" s="216"/>
      <c r="AW7" s="216"/>
      <c r="AX7" s="216"/>
      <c r="AY7" s="216"/>
      <c r="AZ7" s="216"/>
      <c r="BA7" s="216"/>
      <c r="BB7" s="216"/>
      <c r="BC7" s="216"/>
      <c r="BD7" s="216"/>
      <c r="BE7" s="216"/>
      <c r="BF7" s="216"/>
      <c r="BG7" s="216"/>
      <c r="BH7" s="216"/>
      <c r="BI7" s="216"/>
      <c r="BJ7" s="36"/>
      <c r="BK7" s="36"/>
      <c r="BL7" s="36"/>
      <c r="BM7" s="36"/>
      <c r="BN7" s="36"/>
      <c r="BO7" s="36"/>
      <c r="BP7" s="36"/>
      <c r="BQ7" s="36"/>
      <c r="BR7" s="36"/>
      <c r="BS7" s="36"/>
      <c r="BT7" s="36"/>
      <c r="BU7" s="36"/>
      <c r="BV7" s="36"/>
      <c r="BW7" s="36"/>
      <c r="BX7" s="36"/>
      <c r="BY7" s="36"/>
      <c r="BZ7" s="36"/>
      <c r="CA7" s="36"/>
      <c r="CB7" s="36"/>
      <c r="CC7" s="36"/>
    </row>
    <row r="8" spans="1:85" ht="15" customHeight="1" x14ac:dyDescent="0.3">
      <c r="C8" s="2"/>
      <c r="D8" s="2" t="s">
        <v>132</v>
      </c>
      <c r="E8" s="254">
        <f>'From 2A.1 - Design'!$E$8</f>
        <v>0</v>
      </c>
      <c r="F8" s="254"/>
      <c r="G8" s="254"/>
      <c r="H8" s="254"/>
      <c r="I8" s="254"/>
      <c r="J8" s="254"/>
      <c r="K8" s="254"/>
      <c r="L8" s="254"/>
      <c r="M8" s="254"/>
      <c r="N8" s="254"/>
      <c r="O8" s="254"/>
      <c r="P8" s="254"/>
      <c r="Q8" s="254"/>
      <c r="R8" s="254"/>
      <c r="S8" s="254"/>
      <c r="T8" s="254"/>
      <c r="U8" s="254"/>
      <c r="V8" s="254"/>
      <c r="W8" s="254"/>
      <c r="X8" s="254"/>
      <c r="Y8" s="254"/>
      <c r="Z8" s="254"/>
      <c r="AE8" s="2" t="s">
        <v>159</v>
      </c>
      <c r="AF8" s="178">
        <f>'From 2A.1 - Design'!AE8</f>
        <v>0</v>
      </c>
      <c r="AG8" s="178"/>
      <c r="AH8" s="178"/>
      <c r="AI8" s="178"/>
      <c r="AJ8" s="178"/>
      <c r="AK8" s="178"/>
      <c r="AV8" s="47">
        <v>1</v>
      </c>
      <c r="AW8" s="21" t="s">
        <v>88</v>
      </c>
      <c r="BF8" s="36"/>
      <c r="BG8" s="36"/>
      <c r="BH8" s="36"/>
      <c r="BI8" s="36"/>
      <c r="BJ8" s="36"/>
      <c r="BK8" s="36"/>
      <c r="BL8" s="36"/>
      <c r="BM8" s="36"/>
      <c r="BN8" s="36"/>
      <c r="BO8" s="36"/>
      <c r="BP8" s="36"/>
      <c r="BQ8" s="36"/>
      <c r="BR8" s="36"/>
      <c r="BS8" s="36"/>
      <c r="BT8" s="36"/>
      <c r="BU8" s="36"/>
      <c r="BV8" s="36"/>
      <c r="BW8" s="36"/>
      <c r="BX8" s="36"/>
      <c r="BY8" s="36"/>
      <c r="BZ8" s="36"/>
      <c r="CA8" s="36"/>
      <c r="CB8" s="36"/>
      <c r="CC8" s="36"/>
    </row>
    <row r="9" spans="1:85" ht="4.95" customHeight="1" x14ac:dyDescent="0.3">
      <c r="F9" s="2"/>
      <c r="G9" s="2"/>
      <c r="H9" s="2"/>
      <c r="I9" s="2"/>
      <c r="J9" s="2"/>
      <c r="BX9" s="36"/>
      <c r="BY9" s="36"/>
      <c r="BZ9" s="36"/>
      <c r="CA9" s="36"/>
      <c r="CB9" s="36"/>
      <c r="CC9" s="36"/>
    </row>
    <row r="10" spans="1:85" ht="15" customHeight="1" x14ac:dyDescent="0.3">
      <c r="B10" s="4" t="s">
        <v>118</v>
      </c>
      <c r="F10" s="2"/>
      <c r="G10" s="54"/>
      <c r="H10" s="4" t="s">
        <v>115</v>
      </c>
      <c r="I10" s="2"/>
      <c r="N10" s="54"/>
      <c r="O10" s="4" t="s">
        <v>116</v>
      </c>
      <c r="X10" s="54"/>
      <c r="Y10" s="4" t="str">
        <f>Tables!F24</f>
        <v xml:space="preserve"> O&amp;M Plan</v>
      </c>
      <c r="AE10" s="54"/>
      <c r="AF10" s="4" t="s">
        <v>119</v>
      </c>
      <c r="AW10" s="6" t="s">
        <v>90</v>
      </c>
      <c r="AX10" s="21" t="s">
        <v>192</v>
      </c>
      <c r="AZ10" s="21"/>
      <c r="BA10" s="21"/>
      <c r="BB10" s="21"/>
      <c r="BC10" s="21"/>
      <c r="BD10" s="21"/>
      <c r="BE10" s="21"/>
      <c r="BF10"/>
      <c r="BG10"/>
      <c r="BH10"/>
      <c r="BI10"/>
      <c r="BJ10"/>
      <c r="BK10"/>
      <c r="BL10"/>
      <c r="BM10"/>
      <c r="BN10"/>
      <c r="BO10"/>
      <c r="BP10"/>
      <c r="BQ10"/>
      <c r="BR10"/>
      <c r="BS10"/>
      <c r="BT10"/>
      <c r="BU10"/>
      <c r="BV10"/>
      <c r="BW10"/>
      <c r="BX10" s="36"/>
      <c r="BY10" s="36"/>
      <c r="BZ10" s="36"/>
      <c r="CA10" s="36"/>
      <c r="CB10" s="36"/>
      <c r="CC10" s="36"/>
    </row>
    <row r="11" spans="1:85" ht="15" customHeight="1" x14ac:dyDescent="0.3">
      <c r="AW11" s="6" t="s">
        <v>91</v>
      </c>
      <c r="AX11" s="21" t="s">
        <v>89</v>
      </c>
      <c r="BA11" s="21"/>
      <c r="BB11" s="21"/>
      <c r="BC11" s="21"/>
      <c r="BD11" s="21"/>
      <c r="BE11" s="21"/>
      <c r="BF11"/>
      <c r="BG11"/>
      <c r="BH11"/>
      <c r="BI11"/>
      <c r="BJ11"/>
      <c r="BK11"/>
      <c r="BL11"/>
      <c r="BM11"/>
      <c r="BN11"/>
      <c r="BO11"/>
      <c r="BP11"/>
      <c r="BQ11"/>
      <c r="BR11"/>
      <c r="BS11"/>
      <c r="BT11"/>
      <c r="BU11"/>
      <c r="BV11"/>
      <c r="BW11"/>
      <c r="BX11" s="36"/>
      <c r="BY11" s="36"/>
      <c r="BZ11" s="36"/>
      <c r="CA11" s="36"/>
      <c r="CB11" s="36"/>
      <c r="CC11" s="36"/>
    </row>
    <row r="12" spans="1:85" ht="15" customHeight="1" x14ac:dyDescent="0.3">
      <c r="A12" s="239" t="s">
        <v>375</v>
      </c>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76"/>
      <c r="AN12" s="76"/>
      <c r="AV12" s="47">
        <f>AV8+1</f>
        <v>2</v>
      </c>
      <c r="AW12" s="21" t="s">
        <v>92</v>
      </c>
      <c r="AZ12" s="21"/>
      <c r="BA12" s="21"/>
      <c r="BB12" s="21"/>
      <c r="BC12" s="21"/>
      <c r="BD12" s="21"/>
      <c r="BE12" s="21"/>
      <c r="BF12"/>
      <c r="BG12"/>
      <c r="BH12"/>
      <c r="BI12"/>
      <c r="BJ12"/>
      <c r="BK12"/>
      <c r="BL12"/>
      <c r="BM12"/>
      <c r="BN12"/>
      <c r="BO12"/>
      <c r="BP12"/>
      <c r="BQ12"/>
      <c r="BR12"/>
      <c r="BS12"/>
      <c r="BT12"/>
      <c r="BU12"/>
      <c r="BV12"/>
      <c r="BW12"/>
      <c r="BX12" s="36"/>
      <c r="BY12" s="36"/>
      <c r="BZ12" s="36"/>
      <c r="CA12" s="36"/>
      <c r="CB12" s="36"/>
      <c r="CC12" s="36"/>
    </row>
    <row r="13" spans="1:85" ht="15" customHeight="1" x14ac:dyDescent="0.3">
      <c r="B13" s="1" t="s">
        <v>50</v>
      </c>
      <c r="C13" s="1"/>
      <c r="D13" s="1"/>
      <c r="E13" s="1"/>
      <c r="J13" s="1"/>
      <c r="K13" s="1"/>
      <c r="L13" s="1"/>
      <c r="M13" s="1"/>
      <c r="N13" s="1"/>
      <c r="O13" s="1"/>
      <c r="P13" s="1"/>
      <c r="Q13" s="1"/>
      <c r="R13" s="1"/>
      <c r="S13" s="1"/>
      <c r="T13" s="77"/>
      <c r="U13" s="91" t="s">
        <v>51</v>
      </c>
      <c r="W13" s="1"/>
      <c r="X13" s="1"/>
      <c r="AB13" s="1"/>
      <c r="AC13" s="1"/>
      <c r="AD13" s="1"/>
      <c r="AE13" s="1"/>
      <c r="AF13" s="1"/>
      <c r="AG13" s="1"/>
      <c r="AH13" s="1"/>
      <c r="AI13" s="1"/>
      <c r="AJ13" s="1"/>
      <c r="AK13" s="1"/>
      <c r="AL13" s="1"/>
      <c r="AW13" s="6" t="s">
        <v>90</v>
      </c>
      <c r="AX13" s="21" t="s">
        <v>109</v>
      </c>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row>
    <row r="14" spans="1:85" ht="15" customHeight="1" x14ac:dyDescent="0.3">
      <c r="B14" s="2"/>
      <c r="D14" s="2" t="s">
        <v>217</v>
      </c>
      <c r="E14" s="230">
        <f>'From 2A.1 - Design'!E56</f>
        <v>0</v>
      </c>
      <c r="F14" s="230"/>
      <c r="G14" s="230"/>
      <c r="H14" s="230"/>
      <c r="K14" s="2" t="s">
        <v>29</v>
      </c>
      <c r="L14" s="180">
        <f>'From 2A.1 - Design'!N56</f>
        <v>0</v>
      </c>
      <c r="M14" s="180"/>
      <c r="N14" s="180"/>
      <c r="O14" s="180"/>
      <c r="T14" s="78"/>
      <c r="X14" s="2" t="s">
        <v>217</v>
      </c>
      <c r="Y14" s="193"/>
      <c r="Z14" s="193"/>
      <c r="AA14" s="193"/>
      <c r="AB14" s="193"/>
      <c r="AG14" s="2" t="s">
        <v>29</v>
      </c>
      <c r="AH14" s="193"/>
      <c r="AI14" s="193"/>
      <c r="AJ14" s="193"/>
      <c r="AK14" s="193"/>
      <c r="AV14" s="4"/>
      <c r="AW14" s="6" t="s">
        <v>91</v>
      </c>
      <c r="AX14" s="21" t="s">
        <v>102</v>
      </c>
      <c r="BF14" s="36"/>
      <c r="BG14" s="36"/>
      <c r="BH14" s="36"/>
      <c r="BI14" s="36"/>
      <c r="BJ14" s="36"/>
      <c r="BK14" s="36"/>
      <c r="BL14" s="36"/>
      <c r="BM14" s="36"/>
      <c r="BN14" s="36"/>
      <c r="BO14" s="36"/>
      <c r="BP14" s="36"/>
      <c r="BQ14" s="36"/>
      <c r="BR14" s="36"/>
      <c r="BS14" s="36"/>
      <c r="BT14" s="36"/>
      <c r="BU14" s="36"/>
      <c r="BV14" s="36"/>
      <c r="BW14" s="36"/>
      <c r="BX14"/>
      <c r="BY14"/>
      <c r="BZ14"/>
      <c r="CA14"/>
      <c r="CB14"/>
      <c r="CC14"/>
      <c r="CD14" s="79"/>
      <c r="CE14" s="79"/>
      <c r="CF14" s="79"/>
    </row>
    <row r="15" spans="1:85" ht="15" customHeight="1" x14ac:dyDescent="0.3">
      <c r="B15" s="2"/>
      <c r="D15" s="2" t="s">
        <v>218</v>
      </c>
      <c r="E15" s="234">
        <f>'From 2A.1 - Design'!E57</f>
        <v>0</v>
      </c>
      <c r="F15" s="234"/>
      <c r="G15" s="234"/>
      <c r="H15" s="19" t="s">
        <v>39</v>
      </c>
      <c r="T15" s="78"/>
      <c r="X15" s="2" t="s">
        <v>218</v>
      </c>
      <c r="Y15" s="196"/>
      <c r="Z15" s="196"/>
      <c r="AA15" s="196"/>
      <c r="AB15" s="4" t="s">
        <v>39</v>
      </c>
      <c r="AM15" s="90">
        <f>IF(ISBLANK(Y15),1,2)</f>
        <v>1</v>
      </c>
      <c r="AV15" s="4"/>
      <c r="AX15" s="70" t="s">
        <v>108</v>
      </c>
      <c r="AY15" s="21" t="s">
        <v>193</v>
      </c>
      <c r="BX15"/>
      <c r="BY15"/>
      <c r="BZ15"/>
      <c r="CA15"/>
      <c r="CB15"/>
      <c r="CC15"/>
      <c r="CD15" s="79"/>
      <c r="CE15" s="79"/>
      <c r="CF15" s="79"/>
    </row>
    <row r="16" spans="1:85" ht="15" customHeight="1" x14ac:dyDescent="0.3">
      <c r="B16" s="2"/>
      <c r="D16" s="2" t="s">
        <v>219</v>
      </c>
      <c r="E16" s="234">
        <f>'From 2A.1 - Design'!E58</f>
        <v>0</v>
      </c>
      <c r="F16" s="234"/>
      <c r="G16" s="234"/>
      <c r="H16" s="19" t="s">
        <v>39</v>
      </c>
      <c r="K16" s="2" t="s">
        <v>40</v>
      </c>
      <c r="L16" s="248">
        <f>'From 2A.1 - Design'!N58</f>
        <v>0</v>
      </c>
      <c r="M16" s="248"/>
      <c r="N16" s="248"/>
      <c r="O16" s="4" t="s">
        <v>39</v>
      </c>
      <c r="S16" s="40"/>
      <c r="T16" s="78"/>
      <c r="X16" s="2" t="s">
        <v>219</v>
      </c>
      <c r="Y16" s="196"/>
      <c r="Z16" s="196"/>
      <c r="AA16" s="196"/>
      <c r="AB16" s="4" t="s">
        <v>39</v>
      </c>
      <c r="AG16" s="2" t="s">
        <v>40</v>
      </c>
      <c r="AH16" s="199"/>
      <c r="AI16" s="199"/>
      <c r="AJ16" s="199"/>
      <c r="AK16" s="4" t="s">
        <v>39</v>
      </c>
      <c r="AM16" s="90">
        <f>IF(AND(ISBLANK(Y16),ISBLANK(AH16)),1,2)</f>
        <v>1</v>
      </c>
      <c r="AX16" s="70" t="s">
        <v>108</v>
      </c>
      <c r="AY16" s="21" t="s">
        <v>127</v>
      </c>
      <c r="AZ16" s="21"/>
      <c r="BA16" s="21"/>
      <c r="BB16" s="21"/>
      <c r="BC16" s="21"/>
      <c r="BD16" s="21"/>
      <c r="BE16" s="21"/>
      <c r="BF16"/>
      <c r="BG16"/>
      <c r="BH16"/>
      <c r="BI16"/>
      <c r="BJ16"/>
      <c r="BK16"/>
      <c r="BL16"/>
      <c r="BM16"/>
      <c r="BN16"/>
      <c r="BO16"/>
      <c r="BP16"/>
      <c r="BQ16"/>
      <c r="BR16"/>
      <c r="BS16"/>
      <c r="BT16"/>
      <c r="BU16"/>
      <c r="BV16"/>
      <c r="BW16"/>
      <c r="BX16"/>
      <c r="BY16"/>
      <c r="BZ16"/>
      <c r="CA16"/>
      <c r="CB16"/>
      <c r="CC16"/>
    </row>
    <row r="17" spans="2:81" ht="15" customHeight="1" x14ac:dyDescent="0.3">
      <c r="B17" s="2"/>
      <c r="D17" s="2" t="s">
        <v>220</v>
      </c>
      <c r="E17" s="234">
        <f>'From 2A.1 - Design'!E59</f>
        <v>0</v>
      </c>
      <c r="F17" s="234"/>
      <c r="G17" s="234"/>
      <c r="H17" s="19" t="s">
        <v>39</v>
      </c>
      <c r="K17" s="2" t="s">
        <v>41</v>
      </c>
      <c r="L17" s="234">
        <f>'From 2A.1 - Design'!N59</f>
        <v>0</v>
      </c>
      <c r="M17" s="234"/>
      <c r="N17" s="234"/>
      <c r="O17" s="4" t="s">
        <v>39</v>
      </c>
      <c r="S17" s="40"/>
      <c r="T17" s="78"/>
      <c r="X17" s="2" t="s">
        <v>220</v>
      </c>
      <c r="Y17" s="196"/>
      <c r="Z17" s="196"/>
      <c r="AA17" s="196"/>
      <c r="AB17" s="4" t="s">
        <v>39</v>
      </c>
      <c r="AG17" s="2" t="s">
        <v>41</v>
      </c>
      <c r="AH17" s="196"/>
      <c r="AI17" s="196"/>
      <c r="AJ17" s="196"/>
      <c r="AK17" s="4" t="s">
        <v>39</v>
      </c>
      <c r="AX17" s="70" t="s">
        <v>108</v>
      </c>
      <c r="AY17" s="4" t="s">
        <v>156</v>
      </c>
      <c r="BA17" s="21"/>
      <c r="BB17" s="21"/>
      <c r="BC17" s="21"/>
      <c r="BD17" s="21"/>
      <c r="BE17" s="21"/>
      <c r="BF17"/>
      <c r="BG17"/>
      <c r="BH17"/>
      <c r="BI17"/>
      <c r="BJ17"/>
      <c r="BK17"/>
      <c r="BL17"/>
      <c r="BM17"/>
      <c r="BN17"/>
      <c r="BO17"/>
      <c r="BP17"/>
      <c r="BQ17"/>
      <c r="BR17"/>
      <c r="BS17"/>
      <c r="BT17"/>
      <c r="BU17"/>
      <c r="BV17"/>
      <c r="BW17"/>
      <c r="BX17"/>
      <c r="BY17"/>
      <c r="BZ17"/>
      <c r="CA17"/>
      <c r="CB17"/>
      <c r="CC17"/>
    </row>
    <row r="18" spans="2:81" ht="4.95" customHeight="1" x14ac:dyDescent="0.3">
      <c r="B18" s="2"/>
      <c r="D18" s="2"/>
      <c r="E18" s="39"/>
      <c r="F18" s="39"/>
      <c r="G18" s="39"/>
      <c r="H18" s="39"/>
      <c r="I18" s="19"/>
      <c r="N18" s="2"/>
      <c r="O18" s="40"/>
      <c r="Q18" s="40"/>
      <c r="R18" s="40"/>
      <c r="S18" s="40"/>
      <c r="T18" s="78"/>
      <c r="AE18" s="2"/>
      <c r="AF18" s="14"/>
      <c r="AG18" s="14"/>
      <c r="AH18" s="14"/>
      <c r="AI18" s="14"/>
      <c r="BX18"/>
      <c r="BY18"/>
      <c r="BZ18"/>
      <c r="CA18"/>
      <c r="CB18"/>
      <c r="CC18"/>
    </row>
    <row r="19" spans="2:81" ht="15" customHeight="1" x14ac:dyDescent="0.3">
      <c r="B19" s="2"/>
      <c r="D19" s="2" t="s">
        <v>221</v>
      </c>
      <c r="E19" s="100">
        <f>'From 2A.1 - Design'!E61</f>
        <v>0</v>
      </c>
      <c r="F19" s="4" t="s">
        <v>120</v>
      </c>
      <c r="I19" s="100">
        <f>'From 2A.1 - Design'!I61</f>
        <v>0</v>
      </c>
      <c r="J19" s="4" t="s">
        <v>121</v>
      </c>
      <c r="T19" s="78"/>
      <c r="X19" s="2" t="s">
        <v>221</v>
      </c>
      <c r="Y19" s="54"/>
      <c r="Z19" s="4" t="s">
        <v>120</v>
      </c>
      <c r="AC19" s="54"/>
      <c r="AD19" s="4" t="s">
        <v>121</v>
      </c>
      <c r="AM19" s="90">
        <f>IF(AND(ISBLANK(Y19),ISBLANK(AC19)),1,2)</f>
        <v>1</v>
      </c>
      <c r="AX19" s="70" t="s">
        <v>108</v>
      </c>
      <c r="AY19" s="4" t="str">
        <f>Tables!F24</f>
        <v xml:space="preserve"> O&amp;M Plan</v>
      </c>
      <c r="BF19" s="36"/>
      <c r="BG19" s="36"/>
      <c r="BH19" s="36"/>
      <c r="BI19" s="36"/>
      <c r="BJ19" s="36"/>
      <c r="BK19" s="36"/>
      <c r="BL19" s="36"/>
      <c r="BM19" s="36"/>
      <c r="BN19" s="36"/>
      <c r="BO19" s="36"/>
      <c r="BP19" s="36"/>
      <c r="BQ19" s="36"/>
      <c r="BR19" s="36"/>
      <c r="BS19" s="36"/>
      <c r="BT19" s="36"/>
      <c r="BU19" s="36"/>
      <c r="BV19" s="36"/>
      <c r="BW19" s="36"/>
      <c r="BX19"/>
      <c r="BY19"/>
      <c r="BZ19"/>
      <c r="CA19"/>
      <c r="CB19"/>
      <c r="CC19"/>
    </row>
    <row r="20" spans="2:81" ht="4.95" customHeight="1" x14ac:dyDescent="0.3">
      <c r="B20" s="2"/>
      <c r="D20" s="2"/>
      <c r="T20" s="78"/>
      <c r="AE20" s="2"/>
      <c r="AY20" s="21"/>
      <c r="AZ20" s="21"/>
      <c r="BA20" s="21"/>
      <c r="BB20" s="21"/>
      <c r="BC20" s="21"/>
      <c r="BD20" s="21"/>
      <c r="BE20" s="21"/>
      <c r="BF20"/>
      <c r="BG20"/>
      <c r="BH20"/>
      <c r="BI20"/>
      <c r="BJ20"/>
      <c r="BK20"/>
      <c r="BL20"/>
      <c r="BM20"/>
      <c r="BN20"/>
      <c r="BO20"/>
      <c r="BP20"/>
      <c r="BQ20"/>
      <c r="BR20"/>
      <c r="BS20"/>
      <c r="BT20"/>
      <c r="BU20"/>
      <c r="BV20"/>
      <c r="BW20"/>
      <c r="BX20" s="80"/>
      <c r="BY20" s="80"/>
      <c r="BZ20" s="80"/>
      <c r="CA20" s="80"/>
      <c r="CB20" s="80"/>
      <c r="CC20" s="80"/>
    </row>
    <row r="21" spans="2:81" ht="15" customHeight="1" x14ac:dyDescent="0.3">
      <c r="F21" s="6" t="s">
        <v>30</v>
      </c>
      <c r="G21" s="6"/>
      <c r="H21" s="6"/>
      <c r="I21" s="6"/>
      <c r="J21" s="6" t="s">
        <v>244</v>
      </c>
      <c r="L21" s="6"/>
      <c r="M21" s="6"/>
      <c r="N21" s="6" t="s">
        <v>245</v>
      </c>
      <c r="P21" s="6"/>
      <c r="Q21" s="6"/>
      <c r="R21" s="6" t="s">
        <v>37</v>
      </c>
      <c r="T21" s="81"/>
      <c r="W21" s="6" t="s">
        <v>30</v>
      </c>
      <c r="AB21" s="6" t="s">
        <v>244</v>
      </c>
      <c r="AC21" s="6"/>
      <c r="AD21" s="6"/>
      <c r="AF21" s="6" t="s">
        <v>245</v>
      </c>
      <c r="AG21" s="6"/>
      <c r="AH21" s="6"/>
      <c r="AI21" s="6"/>
      <c r="AJ21" s="6" t="s">
        <v>37</v>
      </c>
      <c r="AV21" s="47">
        <f>AV12+1</f>
        <v>3</v>
      </c>
      <c r="AW21" s="21" t="s">
        <v>399</v>
      </c>
      <c r="BA21" s="21"/>
      <c r="BB21" s="21"/>
      <c r="BC21" s="21"/>
      <c r="BD21" s="21"/>
      <c r="BE21" s="21"/>
      <c r="BF21"/>
      <c r="BG21"/>
      <c r="BH21"/>
      <c r="BI21"/>
      <c r="BJ21"/>
      <c r="BK21"/>
      <c r="BL21"/>
      <c r="BM21"/>
      <c r="BN21"/>
      <c r="BO21"/>
      <c r="BP21"/>
      <c r="BQ21"/>
      <c r="BR21"/>
      <c r="BS21"/>
      <c r="BT21"/>
      <c r="BU21"/>
      <c r="BV21"/>
      <c r="BW21"/>
      <c r="BX21"/>
      <c r="BY21"/>
      <c r="BZ21"/>
      <c r="CA21"/>
      <c r="CB21"/>
      <c r="CC21"/>
    </row>
    <row r="22" spans="2:81" ht="15" customHeight="1" x14ac:dyDescent="0.3">
      <c r="B22" s="2"/>
      <c r="D22" s="2" t="s">
        <v>233</v>
      </c>
      <c r="E22" s="180">
        <f>'From 2A.1 - Design'!E64</f>
        <v>0</v>
      </c>
      <c r="F22" s="180"/>
      <c r="G22" s="180"/>
      <c r="H22" s="19"/>
      <c r="I22" s="248">
        <f>'From 2A.1 - Design'!I64</f>
        <v>0</v>
      </c>
      <c r="J22" s="248"/>
      <c r="K22" s="248"/>
      <c r="L22" s="4" t="s">
        <v>38</v>
      </c>
      <c r="M22" s="248">
        <f>'From 2A.1 - Design'!N64</f>
        <v>0</v>
      </c>
      <c r="N22" s="248"/>
      <c r="O22" s="248"/>
      <c r="P22" s="4" t="s">
        <v>38</v>
      </c>
      <c r="Q22" s="248">
        <f>'From 2A.1 - Design'!S64</f>
        <v>0</v>
      </c>
      <c r="R22" s="248"/>
      <c r="S22" s="248"/>
      <c r="T22" s="78" t="s">
        <v>39</v>
      </c>
      <c r="V22" s="193"/>
      <c r="W22" s="193"/>
      <c r="X22" s="193"/>
      <c r="Y22" s="193"/>
      <c r="AA22" s="199"/>
      <c r="AB22" s="199"/>
      <c r="AC22" s="199"/>
      <c r="AD22" s="4" t="s">
        <v>38</v>
      </c>
      <c r="AE22" s="199"/>
      <c r="AF22" s="199"/>
      <c r="AG22" s="199"/>
      <c r="AH22" s="4" t="s">
        <v>38</v>
      </c>
      <c r="AI22" s="199"/>
      <c r="AJ22" s="199"/>
      <c r="AK22" s="199"/>
      <c r="AL22" s="4" t="s">
        <v>39</v>
      </c>
      <c r="AM22" s="90">
        <f>IF(ISBLANK(V22),1,2)</f>
        <v>1</v>
      </c>
      <c r="AW22" s="6" t="s">
        <v>90</v>
      </c>
      <c r="AX22" s="21" t="s">
        <v>284</v>
      </c>
      <c r="AY22" s="21"/>
      <c r="AZ22" s="21"/>
      <c r="BA22" s="21"/>
      <c r="BB22" s="21"/>
      <c r="BC22" s="21"/>
      <c r="BD22" s="21"/>
      <c r="BE22" s="21"/>
      <c r="BF22"/>
      <c r="BG22"/>
      <c r="BH22"/>
      <c r="BI22"/>
      <c r="BJ22"/>
      <c r="BK22"/>
      <c r="BL22"/>
      <c r="BM22"/>
      <c r="BN22"/>
      <c r="BO22"/>
      <c r="BP22"/>
      <c r="BQ22"/>
      <c r="BR22"/>
      <c r="BS22"/>
      <c r="BT22"/>
      <c r="BU22"/>
      <c r="BV22"/>
      <c r="BW22"/>
      <c r="BX22"/>
      <c r="BY22"/>
      <c r="BZ22"/>
      <c r="CA22"/>
      <c r="CB22"/>
      <c r="CC22"/>
    </row>
    <row r="23" spans="2:81" ht="15" customHeight="1" x14ac:dyDescent="0.3">
      <c r="B23" s="2"/>
      <c r="D23" s="2" t="s">
        <v>234</v>
      </c>
      <c r="E23" s="180">
        <f>'From 2A.1 - Design'!E65</f>
        <v>0</v>
      </c>
      <c r="F23" s="180"/>
      <c r="G23" s="180"/>
      <c r="H23" s="19"/>
      <c r="I23" s="248">
        <f>'From 2A.1 - Design'!I65</f>
        <v>0</v>
      </c>
      <c r="J23" s="248"/>
      <c r="K23" s="248"/>
      <c r="L23" s="4" t="str">
        <f>IF(E23="V-notch","deg","in")</f>
        <v>in</v>
      </c>
      <c r="M23" s="248">
        <f>'From 2A.1 - Design'!N65</f>
        <v>0</v>
      </c>
      <c r="N23" s="248"/>
      <c r="O23" s="248"/>
      <c r="P23" s="4" t="s">
        <v>38</v>
      </c>
      <c r="Q23" s="248">
        <f>'From 2A.1 - Design'!S65</f>
        <v>0</v>
      </c>
      <c r="R23" s="248"/>
      <c r="S23" s="248"/>
      <c r="T23" s="78" t="s">
        <v>39</v>
      </c>
      <c r="V23" s="194"/>
      <c r="W23" s="194"/>
      <c r="X23" s="194"/>
      <c r="Y23" s="194"/>
      <c r="AA23" s="196"/>
      <c r="AB23" s="196"/>
      <c r="AC23" s="196"/>
      <c r="AD23" s="4" t="str">
        <f>IF(V23="V-notch","deg","in")</f>
        <v>in</v>
      </c>
      <c r="AE23" s="196"/>
      <c r="AF23" s="196"/>
      <c r="AG23" s="196"/>
      <c r="AH23" s="4" t="s">
        <v>38</v>
      </c>
      <c r="AI23" s="196"/>
      <c r="AJ23" s="196"/>
      <c r="AK23" s="196"/>
      <c r="AL23" s="4" t="s">
        <v>39</v>
      </c>
      <c r="AM23" s="90">
        <f>IF(ISBLANK(V23),1,2)</f>
        <v>1</v>
      </c>
      <c r="AX23" s="21" t="s">
        <v>285</v>
      </c>
      <c r="AZ23" s="21"/>
      <c r="BA23" s="21"/>
      <c r="BB23" s="21"/>
      <c r="BC23" s="21"/>
      <c r="BD23" s="21"/>
      <c r="BE23" s="21"/>
      <c r="BF23"/>
      <c r="BG23"/>
      <c r="BH23"/>
      <c r="BI23"/>
      <c r="BJ23"/>
      <c r="BK23"/>
      <c r="BL23"/>
      <c r="BM23"/>
      <c r="BN23"/>
      <c r="BO23"/>
      <c r="BP23"/>
      <c r="BQ23"/>
      <c r="BR23"/>
      <c r="BS23"/>
      <c r="BT23"/>
      <c r="BU23"/>
      <c r="BV23"/>
      <c r="BW23"/>
      <c r="BX23"/>
      <c r="BY23"/>
      <c r="BZ23"/>
      <c r="CA23"/>
      <c r="CB23"/>
      <c r="CC23"/>
    </row>
    <row r="24" spans="2:81" ht="4.95" customHeight="1" x14ac:dyDescent="0.3">
      <c r="B24" s="2"/>
      <c r="D24" s="2"/>
      <c r="F24" s="19"/>
      <c r="G24" s="19"/>
      <c r="H24" s="19"/>
      <c r="I24" s="19"/>
      <c r="K24" s="40"/>
      <c r="L24" s="40"/>
      <c r="M24" s="40"/>
      <c r="O24" s="40"/>
      <c r="P24" s="40"/>
      <c r="Q24" s="40"/>
      <c r="S24" s="40"/>
      <c r="T24" s="74"/>
      <c r="AF24" s="13"/>
      <c r="AG24" s="13"/>
      <c r="AH24" s="13"/>
      <c r="AI24" s="13"/>
      <c r="AK24" s="13"/>
      <c r="AL24" s="13"/>
      <c r="AY24" s="21"/>
      <c r="AZ24" s="21"/>
      <c r="BA24" s="21"/>
      <c r="BB24" s="21"/>
      <c r="BC24" s="21"/>
      <c r="BD24" s="21"/>
      <c r="BE24" s="21"/>
      <c r="BF24"/>
      <c r="BG24"/>
      <c r="BH24"/>
      <c r="BI24"/>
      <c r="BJ24"/>
      <c r="BK24"/>
      <c r="BL24"/>
      <c r="BM24"/>
      <c r="BN24"/>
      <c r="BO24"/>
      <c r="BP24"/>
      <c r="BQ24"/>
      <c r="BR24"/>
      <c r="BS24"/>
      <c r="BT24"/>
      <c r="BU24"/>
      <c r="BV24"/>
      <c r="BW24"/>
      <c r="BX24" s="36"/>
      <c r="BY24" s="36"/>
      <c r="BZ24" s="36"/>
      <c r="CA24" s="36"/>
      <c r="CB24" s="36"/>
      <c r="CC24" s="36"/>
    </row>
    <row r="25" spans="2:81" ht="15" customHeight="1" x14ac:dyDescent="0.3">
      <c r="B25" s="2"/>
      <c r="D25" s="2" t="s">
        <v>283</v>
      </c>
      <c r="E25" s="100">
        <f>'From 2A.1 - Design'!E67</f>
        <v>0</v>
      </c>
      <c r="F25" s="4" t="s">
        <v>120</v>
      </c>
      <c r="I25" s="100">
        <f>'From 2A.1 - Design'!I67</f>
        <v>0</v>
      </c>
      <c r="J25" s="4" t="s">
        <v>121</v>
      </c>
      <c r="T25" s="78"/>
      <c r="X25" s="2" t="s">
        <v>283</v>
      </c>
      <c r="Y25" s="54"/>
      <c r="Z25" s="4" t="s">
        <v>120</v>
      </c>
      <c r="AB25" s="2"/>
      <c r="AC25" s="54"/>
      <c r="AD25" s="4" t="s">
        <v>121</v>
      </c>
      <c r="AM25" s="90">
        <f>IF(AND(ISBLANK(Y25),ISBLANK(AC25)),1,2)</f>
        <v>1</v>
      </c>
      <c r="AN25" s="90">
        <f>IF(ISBLANK(AC25),1,2)</f>
        <v>1</v>
      </c>
      <c r="AW25" s="6" t="s">
        <v>91</v>
      </c>
      <c r="AX25" s="21" t="s">
        <v>94</v>
      </c>
      <c r="AY25" s="21"/>
      <c r="AZ25" s="21"/>
      <c r="BA25" s="21"/>
      <c r="BB25" s="21"/>
      <c r="BC25" s="21"/>
      <c r="BD25" s="21"/>
      <c r="BE25" s="21"/>
      <c r="BF25"/>
      <c r="BG25"/>
      <c r="BH25"/>
      <c r="BI25"/>
      <c r="BJ25"/>
      <c r="BK25"/>
      <c r="BL25"/>
      <c r="BM25"/>
      <c r="BN25"/>
      <c r="BO25"/>
      <c r="BP25"/>
      <c r="BQ25"/>
      <c r="BR25"/>
      <c r="BS25"/>
      <c r="BT25"/>
      <c r="BU25"/>
      <c r="BV25"/>
      <c r="BW25"/>
      <c r="BX25" s="36"/>
      <c r="BY25" s="36"/>
      <c r="BZ25" s="36"/>
      <c r="CA25" s="36"/>
      <c r="CB25" s="36"/>
      <c r="CC25" s="36"/>
    </row>
    <row r="26" spans="2:81" ht="4.95" customHeight="1" x14ac:dyDescent="0.3">
      <c r="B26" s="2"/>
      <c r="C26" s="2"/>
      <c r="D26" s="2"/>
      <c r="T26" s="78"/>
      <c r="AA26" s="2"/>
      <c r="AB26" s="2"/>
      <c r="AC26" s="2"/>
      <c r="AD26" s="2"/>
      <c r="AW26" s="6"/>
      <c r="AX26" s="21"/>
      <c r="AY26" s="82"/>
      <c r="AZ26" s="82"/>
      <c r="BA26" s="82"/>
      <c r="BB26" s="82"/>
      <c r="BC26" s="82"/>
      <c r="BD26" s="82"/>
      <c r="BE26" s="82"/>
      <c r="BF26" s="80"/>
      <c r="BG26" s="80"/>
      <c r="BH26" s="80"/>
      <c r="BI26" s="80"/>
      <c r="BJ26" s="80"/>
      <c r="BK26" s="80"/>
      <c r="BL26" s="80"/>
      <c r="BM26" s="80"/>
      <c r="BN26" s="80"/>
      <c r="BO26" s="80"/>
      <c r="BP26" s="80"/>
      <c r="BQ26" s="80"/>
      <c r="BR26" s="80"/>
      <c r="BS26" s="80"/>
      <c r="BT26" s="80"/>
      <c r="BU26" s="80"/>
      <c r="BV26" s="80"/>
      <c r="BW26" s="80"/>
      <c r="BX26" s="36"/>
      <c r="BY26" s="36"/>
      <c r="BZ26" s="36"/>
      <c r="CA26" s="36"/>
      <c r="CB26" s="36"/>
      <c r="CC26" s="36"/>
    </row>
    <row r="27" spans="2:81" ht="15" customHeight="1" x14ac:dyDescent="0.3">
      <c r="B27" s="219" t="str">
        <f>'From 2A.1 - Design'!B69</f>
        <v xml:space="preserve">Select: </v>
      </c>
      <c r="C27" s="219"/>
      <c r="D27" s="219"/>
      <c r="E27" s="180">
        <f>'From 2A.1 - Design'!E69</f>
        <v>0</v>
      </c>
      <c r="F27" s="180"/>
      <c r="G27" s="180"/>
      <c r="H27" s="19"/>
      <c r="I27" s="248">
        <f>'From 2A.1 - Design'!I69</f>
        <v>0</v>
      </c>
      <c r="J27" s="248"/>
      <c r="K27" s="248"/>
      <c r="L27" s="4" t="str">
        <f t="shared" ref="L27:L33" si="0">IF(E27="V-notch","deg","in")</f>
        <v>in</v>
      </c>
      <c r="M27" s="248">
        <f>'From 2A.1 - Design'!N69</f>
        <v>0</v>
      </c>
      <c r="N27" s="248"/>
      <c r="O27" s="248"/>
      <c r="P27" s="4" t="s">
        <v>38</v>
      </c>
      <c r="Q27" s="248">
        <f>'From 2A.1 - Design'!S69</f>
        <v>0</v>
      </c>
      <c r="R27" s="248"/>
      <c r="S27" s="248"/>
      <c r="T27" s="78" t="s">
        <v>39</v>
      </c>
      <c r="W27" s="193"/>
      <c r="X27" s="193"/>
      <c r="Y27" s="193"/>
      <c r="AA27" s="199"/>
      <c r="AB27" s="199"/>
      <c r="AC27" s="199"/>
      <c r="AD27" s="4" t="str">
        <f>IF(W27="V-notch","deg","in")</f>
        <v>in</v>
      </c>
      <c r="AE27" s="199"/>
      <c r="AF27" s="199"/>
      <c r="AG27" s="199"/>
      <c r="AH27" s="4" t="s">
        <v>38</v>
      </c>
      <c r="AI27" s="199"/>
      <c r="AJ27" s="199"/>
      <c r="AK27" s="199"/>
      <c r="AL27" s="4" t="s">
        <v>39</v>
      </c>
      <c r="AM27" s="90">
        <f t="shared" ref="AM27:AM33" si="1">IF(ISBLANK(W27),1,2)</f>
        <v>1</v>
      </c>
      <c r="AW27" s="6" t="s">
        <v>105</v>
      </c>
      <c r="AX27" s="21" t="s">
        <v>286</v>
      </c>
      <c r="BB27" s="21"/>
      <c r="BC27" s="21"/>
      <c r="BD27" s="21"/>
      <c r="BE27" s="21"/>
      <c r="BF27"/>
      <c r="BG27"/>
      <c r="BH27"/>
      <c r="BI27"/>
      <c r="BJ27"/>
      <c r="BK27"/>
      <c r="BL27"/>
      <c r="BM27"/>
      <c r="BN27"/>
      <c r="BO27"/>
      <c r="BP27"/>
      <c r="BQ27"/>
      <c r="BR27"/>
      <c r="BS27"/>
      <c r="BT27"/>
      <c r="BU27"/>
      <c r="BV27"/>
      <c r="BW27"/>
      <c r="BX27" s="36"/>
      <c r="BY27" s="36"/>
      <c r="BZ27" s="36"/>
      <c r="CA27" s="36"/>
      <c r="CB27" s="36"/>
      <c r="CC27" s="36"/>
    </row>
    <row r="28" spans="2:81" ht="15" customHeight="1" x14ac:dyDescent="0.3">
      <c r="B28" s="219" t="str">
        <f>'From 2A.1 - Design'!B70</f>
        <v xml:space="preserve">Select: </v>
      </c>
      <c r="C28" s="219"/>
      <c r="D28" s="219"/>
      <c r="E28" s="180">
        <f>'From 2A.1 - Design'!E70</f>
        <v>0</v>
      </c>
      <c r="F28" s="180"/>
      <c r="G28" s="180"/>
      <c r="H28" s="19"/>
      <c r="I28" s="248">
        <f>'From 2A.1 - Design'!I70</f>
        <v>0</v>
      </c>
      <c r="J28" s="248"/>
      <c r="K28" s="248"/>
      <c r="L28" s="4" t="str">
        <f t="shared" si="0"/>
        <v>in</v>
      </c>
      <c r="M28" s="248">
        <f>'From 2A.1 - Design'!N70</f>
        <v>0</v>
      </c>
      <c r="N28" s="248"/>
      <c r="O28" s="248"/>
      <c r="P28" s="4" t="s">
        <v>38</v>
      </c>
      <c r="Q28" s="248">
        <f>'From 2A.1 - Design'!S70</f>
        <v>0</v>
      </c>
      <c r="R28" s="248"/>
      <c r="S28" s="248"/>
      <c r="T28" s="78" t="s">
        <v>39</v>
      </c>
      <c r="W28" s="193"/>
      <c r="X28" s="193"/>
      <c r="Y28" s="193"/>
      <c r="AA28" s="196"/>
      <c r="AB28" s="196"/>
      <c r="AC28" s="196"/>
      <c r="AD28" s="4" t="str">
        <f t="shared" ref="AD28:AD33" si="2">IF(W28="V-notch","deg","in")</f>
        <v>in</v>
      </c>
      <c r="AE28" s="196"/>
      <c r="AF28" s="196"/>
      <c r="AG28" s="196"/>
      <c r="AH28" s="4" t="s">
        <v>38</v>
      </c>
      <c r="AI28" s="196"/>
      <c r="AJ28" s="196"/>
      <c r="AK28" s="196"/>
      <c r="AL28" s="4" t="s">
        <v>39</v>
      </c>
      <c r="AM28" s="90">
        <f t="shared" si="1"/>
        <v>1</v>
      </c>
      <c r="AX28" s="21" t="s">
        <v>274</v>
      </c>
      <c r="AY28" s="21"/>
      <c r="AZ28" s="21"/>
      <c r="BA28" s="21"/>
      <c r="BB28" s="21"/>
      <c r="BC28" s="21"/>
      <c r="BD28" s="21"/>
      <c r="BE28" s="21"/>
      <c r="BF28"/>
      <c r="BG28"/>
      <c r="BH28"/>
      <c r="BI28"/>
      <c r="BJ28"/>
      <c r="BK28"/>
      <c r="BL28"/>
      <c r="BM28"/>
      <c r="BN28"/>
      <c r="BO28"/>
      <c r="BP28"/>
      <c r="BQ28"/>
      <c r="BR28"/>
      <c r="BS28"/>
      <c r="BT28"/>
      <c r="BU28"/>
      <c r="BV28"/>
      <c r="BW28"/>
      <c r="BX28" s="36"/>
      <c r="BY28" s="36"/>
      <c r="BZ28" s="36"/>
      <c r="CA28" s="36"/>
      <c r="CB28" s="36"/>
      <c r="CC28" s="36"/>
    </row>
    <row r="29" spans="2:81" ht="15" customHeight="1" x14ac:dyDescent="0.3">
      <c r="B29" s="219" t="str">
        <f>'From 2A.1 - Design'!B71</f>
        <v xml:space="preserve">Select: </v>
      </c>
      <c r="C29" s="219"/>
      <c r="D29" s="219"/>
      <c r="E29" s="180">
        <f>'From 2A.1 - Design'!E71</f>
        <v>0</v>
      </c>
      <c r="F29" s="180"/>
      <c r="G29" s="180"/>
      <c r="H29" s="19"/>
      <c r="I29" s="248">
        <f>'From 2A.1 - Design'!I71</f>
        <v>0</v>
      </c>
      <c r="J29" s="248"/>
      <c r="K29" s="248"/>
      <c r="L29" s="4" t="str">
        <f t="shared" si="0"/>
        <v>in</v>
      </c>
      <c r="M29" s="248">
        <f>'From 2A.1 - Design'!N71</f>
        <v>0</v>
      </c>
      <c r="N29" s="248"/>
      <c r="O29" s="248"/>
      <c r="P29" s="4" t="s">
        <v>38</v>
      </c>
      <c r="Q29" s="248">
        <f>'From 2A.1 - Design'!S71</f>
        <v>0</v>
      </c>
      <c r="R29" s="248"/>
      <c r="S29" s="248"/>
      <c r="T29" s="78" t="s">
        <v>39</v>
      </c>
      <c r="W29" s="193"/>
      <c r="X29" s="193"/>
      <c r="Y29" s="193"/>
      <c r="AA29" s="196"/>
      <c r="AB29" s="196"/>
      <c r="AC29" s="196"/>
      <c r="AD29" s="4" t="str">
        <f t="shared" si="2"/>
        <v>in</v>
      </c>
      <c r="AE29" s="196"/>
      <c r="AF29" s="196"/>
      <c r="AG29" s="196"/>
      <c r="AH29" s="4" t="s">
        <v>38</v>
      </c>
      <c r="AI29" s="196"/>
      <c r="AJ29" s="196"/>
      <c r="AK29" s="196"/>
      <c r="AL29" s="4" t="s">
        <v>39</v>
      </c>
      <c r="AM29" s="90">
        <f t="shared" si="1"/>
        <v>1</v>
      </c>
      <c r="AV29" s="4"/>
      <c r="AW29" s="6" t="s">
        <v>106</v>
      </c>
      <c r="AX29" s="21" t="s">
        <v>275</v>
      </c>
      <c r="AZ29" s="21"/>
      <c r="BA29" s="21"/>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row>
    <row r="30" spans="2:81" ht="15" customHeight="1" x14ac:dyDescent="0.3">
      <c r="B30" s="219" t="str">
        <f>'From 2A.1 - Design'!B72</f>
        <v xml:space="preserve">Select: </v>
      </c>
      <c r="C30" s="219"/>
      <c r="D30" s="219"/>
      <c r="E30" s="180">
        <f>'From 2A.1 - Design'!E72</f>
        <v>0</v>
      </c>
      <c r="F30" s="180"/>
      <c r="G30" s="180"/>
      <c r="H30" s="19"/>
      <c r="I30" s="248">
        <f>'From 2A.1 - Design'!I72</f>
        <v>0</v>
      </c>
      <c r="J30" s="248"/>
      <c r="K30" s="248"/>
      <c r="L30" s="4" t="str">
        <f t="shared" si="0"/>
        <v>in</v>
      </c>
      <c r="M30" s="248">
        <f>'From 2A.1 - Design'!N72</f>
        <v>0</v>
      </c>
      <c r="N30" s="248"/>
      <c r="O30" s="248"/>
      <c r="P30" s="4" t="s">
        <v>38</v>
      </c>
      <c r="Q30" s="248">
        <f>'From 2A.1 - Design'!S72</f>
        <v>0</v>
      </c>
      <c r="R30" s="248"/>
      <c r="S30" s="248"/>
      <c r="T30" s="78" t="s">
        <v>39</v>
      </c>
      <c r="W30" s="193"/>
      <c r="X30" s="193"/>
      <c r="Y30" s="193"/>
      <c r="AA30" s="196"/>
      <c r="AB30" s="196"/>
      <c r="AC30" s="196"/>
      <c r="AD30" s="4" t="str">
        <f t="shared" si="2"/>
        <v>in</v>
      </c>
      <c r="AE30" s="196"/>
      <c r="AF30" s="196"/>
      <c r="AG30" s="196"/>
      <c r="AH30" s="4" t="s">
        <v>38</v>
      </c>
      <c r="AI30" s="196"/>
      <c r="AJ30" s="196"/>
      <c r="AK30" s="196"/>
      <c r="AL30" s="4" t="s">
        <v>39</v>
      </c>
      <c r="AM30" s="90">
        <f t="shared" si="1"/>
        <v>1</v>
      </c>
      <c r="AV30" s="4"/>
      <c r="AX30" s="21" t="s">
        <v>199</v>
      </c>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row>
    <row r="31" spans="2:81" ht="15" customHeight="1" x14ac:dyDescent="0.3">
      <c r="B31" s="219" t="str">
        <f>'From 2A.1 - Design'!B74</f>
        <v xml:space="preserve">Select: </v>
      </c>
      <c r="C31" s="219"/>
      <c r="D31" s="219"/>
      <c r="E31" s="180">
        <f>'From 2A.1 - Design'!E74</f>
        <v>0</v>
      </c>
      <c r="F31" s="180"/>
      <c r="G31" s="180"/>
      <c r="H31" s="19"/>
      <c r="I31" s="248">
        <f>'From 2A.1 - Design'!I74</f>
        <v>0</v>
      </c>
      <c r="J31" s="248"/>
      <c r="K31" s="248"/>
      <c r="L31" s="4" t="str">
        <f t="shared" si="0"/>
        <v>in</v>
      </c>
      <c r="M31" s="248">
        <f>'From 2A.1 - Design'!N74</f>
        <v>0</v>
      </c>
      <c r="N31" s="248"/>
      <c r="O31" s="248"/>
      <c r="P31" s="4" t="s">
        <v>38</v>
      </c>
      <c r="Q31" s="248">
        <f>'From 2A.1 - Design'!S74</f>
        <v>0</v>
      </c>
      <c r="R31" s="248"/>
      <c r="S31" s="248"/>
      <c r="T31" s="78" t="s">
        <v>39</v>
      </c>
      <c r="W31" s="193"/>
      <c r="X31" s="193"/>
      <c r="Y31" s="193"/>
      <c r="AA31" s="196"/>
      <c r="AB31" s="196"/>
      <c r="AC31" s="196"/>
      <c r="AD31" s="4" t="str">
        <f t="shared" si="2"/>
        <v>in</v>
      </c>
      <c r="AE31" s="196"/>
      <c r="AF31" s="196"/>
      <c r="AG31" s="196"/>
      <c r="AH31" s="4" t="s">
        <v>38</v>
      </c>
      <c r="AI31" s="196"/>
      <c r="AJ31" s="196"/>
      <c r="AK31" s="196"/>
      <c r="AL31" s="4" t="s">
        <v>39</v>
      </c>
      <c r="AM31" s="90">
        <f t="shared" si="1"/>
        <v>1</v>
      </c>
      <c r="AV31" s="4"/>
      <c r="AW31" s="6" t="s">
        <v>104</v>
      </c>
      <c r="AX31" s="21" t="s">
        <v>95</v>
      </c>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row>
    <row r="32" spans="2:81" ht="15" customHeight="1" x14ac:dyDescent="0.3">
      <c r="B32" s="219" t="str">
        <f>'From 2A.1 - Design'!B76</f>
        <v xml:space="preserve">Select: </v>
      </c>
      <c r="C32" s="219"/>
      <c r="D32" s="219"/>
      <c r="E32" s="180">
        <f>'From 2A.1 - Design'!E76</f>
        <v>0</v>
      </c>
      <c r="F32" s="180"/>
      <c r="G32" s="180"/>
      <c r="H32" s="19"/>
      <c r="I32" s="248">
        <f>'From 2A.1 - Design'!I76</f>
        <v>0</v>
      </c>
      <c r="J32" s="248"/>
      <c r="K32" s="248"/>
      <c r="L32" s="4" t="str">
        <f t="shared" si="0"/>
        <v>in</v>
      </c>
      <c r="M32" s="248">
        <f>'From 2A.1 - Design'!N76</f>
        <v>0</v>
      </c>
      <c r="N32" s="248"/>
      <c r="O32" s="248"/>
      <c r="P32" s="4" t="s">
        <v>38</v>
      </c>
      <c r="Q32" s="248">
        <f>'From 2A.1 - Design'!S76</f>
        <v>0</v>
      </c>
      <c r="R32" s="248"/>
      <c r="S32" s="248"/>
      <c r="T32" s="78" t="s">
        <v>39</v>
      </c>
      <c r="W32" s="193"/>
      <c r="X32" s="193"/>
      <c r="Y32" s="193"/>
      <c r="AA32" s="196"/>
      <c r="AB32" s="196"/>
      <c r="AC32" s="196"/>
      <c r="AD32" s="4" t="str">
        <f t="shared" si="2"/>
        <v>in</v>
      </c>
      <c r="AE32" s="196"/>
      <c r="AF32" s="196"/>
      <c r="AG32" s="196"/>
      <c r="AH32" s="4" t="s">
        <v>38</v>
      </c>
      <c r="AI32" s="196"/>
      <c r="AJ32" s="196"/>
      <c r="AK32" s="196"/>
      <c r="AL32" s="4" t="s">
        <v>39</v>
      </c>
      <c r="AM32" s="90">
        <f t="shared" si="1"/>
        <v>1</v>
      </c>
      <c r="AV32" s="4"/>
      <c r="AW32" s="6" t="s">
        <v>107</v>
      </c>
      <c r="AX32" s="4" t="s">
        <v>398</v>
      </c>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row>
    <row r="33" spans="1:81" ht="15" customHeight="1" x14ac:dyDescent="0.3">
      <c r="B33" s="219" t="str">
        <f>'From 2A.1 - Design'!B77</f>
        <v xml:space="preserve">Select: </v>
      </c>
      <c r="C33" s="219"/>
      <c r="D33" s="219"/>
      <c r="E33" s="180">
        <f>'From 2A.1 - Design'!E77</f>
        <v>0</v>
      </c>
      <c r="F33" s="180"/>
      <c r="G33" s="180"/>
      <c r="H33" s="19"/>
      <c r="I33" s="248">
        <f>'From 2A.1 - Design'!I77</f>
        <v>0</v>
      </c>
      <c r="J33" s="248"/>
      <c r="K33" s="248"/>
      <c r="L33" s="4" t="str">
        <f t="shared" si="0"/>
        <v>in</v>
      </c>
      <c r="M33" s="248">
        <f>'From 2A.1 - Design'!N77</f>
        <v>0</v>
      </c>
      <c r="N33" s="248"/>
      <c r="O33" s="248"/>
      <c r="P33" s="4" t="s">
        <v>38</v>
      </c>
      <c r="Q33" s="248">
        <f>'From 2A.1 - Design'!S77</f>
        <v>0</v>
      </c>
      <c r="R33" s="248"/>
      <c r="S33" s="248"/>
      <c r="T33" s="78" t="s">
        <v>39</v>
      </c>
      <c r="W33" s="193"/>
      <c r="X33" s="193"/>
      <c r="Y33" s="193"/>
      <c r="AA33" s="196"/>
      <c r="AB33" s="196"/>
      <c r="AC33" s="196"/>
      <c r="AD33" s="4" t="str">
        <f t="shared" si="2"/>
        <v>in</v>
      </c>
      <c r="AE33" s="253"/>
      <c r="AF33" s="253"/>
      <c r="AG33" s="253"/>
      <c r="AH33" s="4" t="s">
        <v>38</v>
      </c>
      <c r="AI33" s="196"/>
      <c r="AJ33" s="196"/>
      <c r="AK33" s="196"/>
      <c r="AL33" s="4" t="s">
        <v>39</v>
      </c>
      <c r="AM33" s="90">
        <f t="shared" si="1"/>
        <v>1</v>
      </c>
      <c r="AV33" s="47">
        <f>AV21+1</f>
        <v>4</v>
      </c>
      <c r="AW33" s="21" t="s">
        <v>87</v>
      </c>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row>
    <row r="34" spans="1:81" ht="15" customHeight="1" x14ac:dyDescent="0.3">
      <c r="B34" s="2"/>
      <c r="C34" s="2"/>
      <c r="D34" s="2"/>
      <c r="E34" s="2"/>
      <c r="K34" s="13"/>
      <c r="L34" s="13"/>
      <c r="M34" s="13"/>
      <c r="N34" s="13"/>
      <c r="P34" s="13"/>
      <c r="Q34" s="13"/>
      <c r="R34" s="13"/>
      <c r="S34" s="13"/>
      <c r="U34" s="13"/>
      <c r="V34" s="13"/>
      <c r="W34" s="13"/>
      <c r="X34" s="13"/>
      <c r="AF34" s="13"/>
      <c r="AG34" s="13"/>
      <c r="AH34" s="13"/>
      <c r="AI34" s="13"/>
      <c r="AK34" s="13"/>
      <c r="AL34" s="13"/>
      <c r="AW34" s="6" t="s">
        <v>90</v>
      </c>
      <c r="AX34" s="4" t="s">
        <v>346</v>
      </c>
      <c r="AY34" s="21"/>
      <c r="BX34" s="36"/>
      <c r="BY34" s="36"/>
      <c r="BZ34" s="36"/>
      <c r="CA34" s="36"/>
      <c r="CB34" s="36"/>
      <c r="CC34" s="36"/>
    </row>
    <row r="35" spans="1:81" ht="15" customHeight="1" x14ac:dyDescent="0.3">
      <c r="A35" s="239" t="s">
        <v>374</v>
      </c>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76"/>
      <c r="AN35" s="76"/>
      <c r="AW35" s="6" t="s">
        <v>91</v>
      </c>
      <c r="AX35" s="21" t="s">
        <v>96</v>
      </c>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row>
    <row r="36" spans="1:81" ht="15" customHeight="1" x14ac:dyDescent="0.3">
      <c r="B36" s="1" t="s">
        <v>50</v>
      </c>
      <c r="C36" s="1"/>
      <c r="D36" s="1"/>
      <c r="E36" s="1"/>
      <c r="J36" s="1"/>
      <c r="K36" s="1"/>
      <c r="L36" s="1"/>
      <c r="M36" s="1"/>
      <c r="N36" s="1"/>
      <c r="O36" s="1"/>
      <c r="P36" s="1"/>
      <c r="Q36" s="1"/>
      <c r="R36" s="1"/>
      <c r="S36" s="1"/>
      <c r="T36" s="78"/>
      <c r="U36" s="1" t="s">
        <v>51</v>
      </c>
      <c r="W36" s="1"/>
      <c r="X36" s="1"/>
      <c r="AB36" s="1"/>
      <c r="AC36" s="1"/>
      <c r="AD36" s="1"/>
      <c r="AE36" s="1"/>
      <c r="AF36" s="1"/>
      <c r="AG36" s="1"/>
      <c r="AH36" s="1"/>
      <c r="AI36" s="1"/>
      <c r="AJ36" s="1"/>
      <c r="AK36" s="1"/>
      <c r="AL36" s="1"/>
      <c r="AM36" s="90">
        <f>SUM(AM37:AM39,AO37:AO39)</f>
        <v>0</v>
      </c>
      <c r="AN36" s="83" t="s">
        <v>75</v>
      </c>
      <c r="AW36" s="6" t="s">
        <v>105</v>
      </c>
      <c r="AX36" s="21" t="s">
        <v>276</v>
      </c>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row>
    <row r="37" spans="1:81" ht="15" customHeight="1" x14ac:dyDescent="0.3">
      <c r="C37" s="2"/>
      <c r="D37" s="2" t="s">
        <v>26</v>
      </c>
      <c r="E37" s="180">
        <f>'From 2A.1 - Design'!F80</f>
        <v>0</v>
      </c>
      <c r="F37" s="180"/>
      <c r="G37" s="180"/>
      <c r="H37" s="180"/>
      <c r="N37" s="2" t="s">
        <v>29</v>
      </c>
      <c r="O37" s="180">
        <f>'From 2A.1 - Design'!O80</f>
        <v>0</v>
      </c>
      <c r="P37" s="180"/>
      <c r="Q37" s="180"/>
      <c r="R37" s="180"/>
      <c r="T37" s="78"/>
      <c r="X37" s="2" t="s">
        <v>26</v>
      </c>
      <c r="Y37" s="193"/>
      <c r="Z37" s="193"/>
      <c r="AA37" s="193"/>
      <c r="AB37" s="193"/>
      <c r="AG37" s="2" t="s">
        <v>29</v>
      </c>
      <c r="AH37" s="193"/>
      <c r="AI37" s="193"/>
      <c r="AJ37" s="193"/>
      <c r="AK37" s="193"/>
      <c r="AM37" s="90">
        <f>IF(ISBLANK(Y37),0,1)</f>
        <v>0</v>
      </c>
      <c r="AN37" s="83" t="s">
        <v>20</v>
      </c>
      <c r="AO37" s="90">
        <f>IF(ISBLANK(AH37),0,1)</f>
        <v>0</v>
      </c>
      <c r="AP37" s="83" t="s">
        <v>30</v>
      </c>
      <c r="AQ37" s="83"/>
      <c r="AR37" s="83"/>
      <c r="AV37" s="4"/>
      <c r="AW37" s="6" t="s">
        <v>106</v>
      </c>
      <c r="AX37" s="21" t="s">
        <v>97</v>
      </c>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row>
    <row r="38" spans="1:81" ht="15" customHeight="1" x14ac:dyDescent="0.3">
      <c r="C38" s="2"/>
      <c r="D38" s="2" t="s">
        <v>36</v>
      </c>
      <c r="E38" s="234">
        <f>'From 2A.1 - Design'!F81</f>
        <v>0</v>
      </c>
      <c r="F38" s="234"/>
      <c r="G38" s="234"/>
      <c r="H38" s="4" t="s">
        <v>39</v>
      </c>
      <c r="I38" s="40"/>
      <c r="N38" s="2" t="s">
        <v>40</v>
      </c>
      <c r="O38" s="234">
        <f>'From 2A.1 - Design'!O81</f>
        <v>0</v>
      </c>
      <c r="P38" s="234"/>
      <c r="Q38" s="234"/>
      <c r="R38" s="4" t="s">
        <v>39</v>
      </c>
      <c r="T38" s="78"/>
      <c r="U38" s="2"/>
      <c r="X38" s="2" t="s">
        <v>36</v>
      </c>
      <c r="Y38" s="196"/>
      <c r="Z38" s="196"/>
      <c r="AA38" s="196"/>
      <c r="AB38" s="4" t="s">
        <v>39</v>
      </c>
      <c r="AG38" s="2" t="s">
        <v>40</v>
      </c>
      <c r="AH38" s="196"/>
      <c r="AI38" s="196"/>
      <c r="AJ38" s="196"/>
      <c r="AK38" s="4" t="s">
        <v>39</v>
      </c>
      <c r="AM38" s="90">
        <f>IF(ISBLANK(Y38),0,1)</f>
        <v>0</v>
      </c>
      <c r="AN38" s="83" t="s">
        <v>46</v>
      </c>
      <c r="AO38" s="90">
        <f>IF(ISBLANK(AH38),0,1)</f>
        <v>0</v>
      </c>
      <c r="AP38" s="83" t="s">
        <v>72</v>
      </c>
      <c r="AQ38" s="83"/>
      <c r="AR38" s="83"/>
      <c r="AW38" s="6" t="s">
        <v>104</v>
      </c>
      <c r="AX38" s="21" t="s">
        <v>98</v>
      </c>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row>
    <row r="39" spans="1:81" ht="15" customHeight="1" x14ac:dyDescent="0.3">
      <c r="C39" s="2"/>
      <c r="D39" s="2" t="s">
        <v>238</v>
      </c>
      <c r="E39" s="234">
        <f>'From 2A.1 - Design'!W81</f>
        <v>0</v>
      </c>
      <c r="F39" s="234"/>
      <c r="G39" s="234"/>
      <c r="H39" s="4" t="s">
        <v>39</v>
      </c>
      <c r="I39" s="40"/>
      <c r="N39" s="2" t="s">
        <v>237</v>
      </c>
      <c r="O39" s="234">
        <f>'From 2A.1 - Design'!AF81</f>
        <v>0</v>
      </c>
      <c r="P39" s="234"/>
      <c r="Q39" s="234"/>
      <c r="R39" s="4" t="s">
        <v>39</v>
      </c>
      <c r="T39" s="84"/>
      <c r="U39" s="2"/>
      <c r="X39" s="2" t="s">
        <v>238</v>
      </c>
      <c r="Y39" s="196"/>
      <c r="Z39" s="196"/>
      <c r="AA39" s="196"/>
      <c r="AB39" s="4" t="s">
        <v>39</v>
      </c>
      <c r="AG39" s="2" t="s">
        <v>237</v>
      </c>
      <c r="AH39" s="196"/>
      <c r="AI39" s="196"/>
      <c r="AJ39" s="196"/>
      <c r="AK39" s="4" t="s">
        <v>39</v>
      </c>
      <c r="AM39" s="90">
        <f>IF(ISBLANK(Y39),0,1)</f>
        <v>0</v>
      </c>
      <c r="AN39" s="83" t="s">
        <v>73</v>
      </c>
      <c r="AO39" s="90">
        <f>IF(ISBLANK(AH39),0,1)</f>
        <v>0</v>
      </c>
      <c r="AP39" s="83" t="s">
        <v>74</v>
      </c>
      <c r="AQ39" s="83"/>
      <c r="AR39" s="83"/>
      <c r="AW39" s="6" t="s">
        <v>107</v>
      </c>
      <c r="AX39" s="21" t="s">
        <v>99</v>
      </c>
      <c r="BF39" s="36"/>
      <c r="BG39" s="36"/>
      <c r="BH39" s="36"/>
      <c r="BI39" s="36"/>
      <c r="BJ39" s="36"/>
      <c r="BK39" s="36"/>
      <c r="BL39" s="36"/>
      <c r="BM39" s="36"/>
      <c r="BN39" s="36"/>
      <c r="BO39" s="36"/>
      <c r="BP39" s="36"/>
      <c r="BQ39" s="36"/>
      <c r="BR39" s="36"/>
      <c r="BS39" s="36"/>
      <c r="BT39" s="36"/>
      <c r="BU39" s="36"/>
      <c r="BV39" s="36"/>
      <c r="BW39" s="36"/>
    </row>
    <row r="40" spans="1:81" ht="15" customHeight="1" x14ac:dyDescent="0.3">
      <c r="B40" s="2"/>
      <c r="C40" s="2"/>
      <c r="D40" s="2"/>
      <c r="E40" s="2"/>
      <c r="F40" s="13"/>
      <c r="G40" s="13"/>
      <c r="H40" s="13"/>
      <c r="I40" s="13"/>
      <c r="O40" s="2"/>
      <c r="P40" s="13"/>
      <c r="Q40" s="13"/>
      <c r="R40" s="13"/>
      <c r="S40" s="13"/>
      <c r="Y40" s="2"/>
      <c r="Z40" s="2"/>
      <c r="AA40" s="13"/>
      <c r="AB40" s="13"/>
      <c r="AC40" s="13"/>
      <c r="AD40" s="13"/>
      <c r="AJ40" s="2"/>
      <c r="AK40" s="13"/>
      <c r="AL40" s="13"/>
      <c r="AM40" s="75"/>
      <c r="AN40" s="75"/>
      <c r="AW40" s="6" t="s">
        <v>268</v>
      </c>
      <c r="AX40" s="21" t="s">
        <v>100</v>
      </c>
      <c r="BF40" s="36"/>
      <c r="BG40" s="36"/>
      <c r="BH40" s="36"/>
      <c r="BI40" s="36"/>
      <c r="BJ40" s="36"/>
      <c r="BK40" s="36"/>
      <c r="BL40" s="36"/>
      <c r="BM40" s="36"/>
      <c r="BN40" s="36"/>
      <c r="BO40" s="36"/>
      <c r="BP40" s="36"/>
      <c r="BQ40" s="36"/>
      <c r="BR40" s="36"/>
      <c r="BS40" s="36"/>
      <c r="BT40" s="36"/>
      <c r="BU40" s="36"/>
      <c r="BV40" s="36"/>
      <c r="BW40" s="36"/>
    </row>
    <row r="41" spans="1:81" s="9" customFormat="1" ht="15" customHeight="1" x14ac:dyDescent="0.3">
      <c r="A41" s="240" t="s">
        <v>14</v>
      </c>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75"/>
      <c r="AN41" s="75"/>
      <c r="AO41" s="75"/>
      <c r="AP41" s="75"/>
      <c r="AQ41" s="75"/>
      <c r="AR41" s="75"/>
      <c r="AS41" s="75"/>
      <c r="AT41" s="75"/>
      <c r="AV41" s="47">
        <f>AV33+1</f>
        <v>5</v>
      </c>
      <c r="AW41" s="21" t="str">
        <f>"Form 3A – Detention Pond As-built Certification Form shall be approved by the "&amp;Tables!F23&amp;" prior to:"</f>
        <v>Form 3A – Detention Pond As-built Certification Form shall be approved by the County prior to:</v>
      </c>
      <c r="AX41" s="4"/>
      <c r="AY41" s="4"/>
      <c r="AZ41" s="4"/>
      <c r="BA41" s="4"/>
      <c r="BB41" s="4"/>
      <c r="BC41" s="4"/>
      <c r="BD41" s="4"/>
      <c r="BE41" s="4"/>
      <c r="BF41" s="36"/>
      <c r="BG41" s="36"/>
      <c r="BH41" s="36"/>
      <c r="BI41" s="36"/>
      <c r="BJ41" s="36"/>
      <c r="BK41" s="36"/>
      <c r="BL41" s="36"/>
      <c r="BM41" s="36"/>
      <c r="BN41" s="36"/>
      <c r="BO41" s="36"/>
      <c r="BP41" s="36"/>
      <c r="BQ41" s="36"/>
      <c r="BR41" s="36"/>
      <c r="BS41" s="36"/>
      <c r="BT41" s="36"/>
      <c r="BU41" s="36"/>
      <c r="BV41" s="36"/>
      <c r="BW41" s="36"/>
    </row>
    <row r="42" spans="1:81" ht="15" customHeight="1" x14ac:dyDescent="0.3">
      <c r="B42" s="1" t="s">
        <v>50</v>
      </c>
      <c r="D42" s="1"/>
      <c r="E42" s="1"/>
      <c r="F42" s="1"/>
      <c r="G42" s="1"/>
      <c r="I42" s="10" t="s">
        <v>42</v>
      </c>
      <c r="J42" s="252">
        <f>'From 2A.1 - Design'!O83</f>
        <v>0</v>
      </c>
      <c r="K42" s="252"/>
      <c r="L42" s="252"/>
      <c r="M42" s="252"/>
      <c r="Q42" s="73"/>
      <c r="R42" s="73"/>
      <c r="S42" s="73"/>
      <c r="T42" s="78"/>
      <c r="U42" s="1" t="s">
        <v>51</v>
      </c>
      <c r="W42" s="1"/>
      <c r="X42" s="1"/>
      <c r="AB42" s="1"/>
      <c r="AC42" s="10" t="s">
        <v>42</v>
      </c>
      <c r="AD42" s="209"/>
      <c r="AE42" s="209"/>
      <c r="AF42" s="209"/>
      <c r="AG42" s="209"/>
      <c r="AH42" s="10"/>
      <c r="AI42" s="10"/>
      <c r="AM42" s="90">
        <f>IF(ISBLANK(AD42),0,1)</f>
        <v>0</v>
      </c>
      <c r="AN42" s="83" t="s">
        <v>141</v>
      </c>
      <c r="AO42" s="90">
        <f>SUM(AM42:AM43)</f>
        <v>0</v>
      </c>
      <c r="AP42" s="83" t="s">
        <v>143</v>
      </c>
      <c r="AQ42" s="44" t="s">
        <v>378</v>
      </c>
      <c r="AR42" s="90">
        <f>IF(ISBLANK(AD42),1,IF(ISTEXT(AD42)=TRUE,3,2))</f>
        <v>1</v>
      </c>
      <c r="AW42" s="6" t="s">
        <v>90</v>
      </c>
      <c r="AX42" s="21" t="s">
        <v>103</v>
      </c>
      <c r="BF42" s="36"/>
      <c r="BG42" s="36"/>
      <c r="BH42" s="36"/>
      <c r="BI42" s="36"/>
      <c r="BJ42" s="36"/>
      <c r="BK42" s="36"/>
      <c r="BL42" s="36"/>
      <c r="BM42" s="36"/>
      <c r="BN42" s="36"/>
      <c r="BO42" s="36"/>
      <c r="BP42" s="36"/>
      <c r="BQ42" s="36"/>
      <c r="BR42" s="36"/>
      <c r="BS42" s="36"/>
      <c r="BT42" s="36"/>
      <c r="BU42" s="36"/>
      <c r="BV42" s="36"/>
      <c r="BW42" s="36"/>
    </row>
    <row r="43" spans="1:81" ht="15" customHeight="1" x14ac:dyDescent="0.3">
      <c r="B43" s="1"/>
      <c r="I43" s="2" t="s">
        <v>43</v>
      </c>
      <c r="J43" s="251">
        <f>'From 2A.1 - Design'!W83</f>
        <v>0</v>
      </c>
      <c r="K43" s="251"/>
      <c r="L43" s="251"/>
      <c r="M43" s="251"/>
      <c r="Q43" s="73"/>
      <c r="R43" s="73"/>
      <c r="S43" s="73"/>
      <c r="T43" s="84"/>
      <c r="U43" s="2"/>
      <c r="AC43" s="2" t="s">
        <v>43</v>
      </c>
      <c r="AD43" s="236"/>
      <c r="AE43" s="236"/>
      <c r="AF43" s="236"/>
      <c r="AG43" s="236"/>
      <c r="AH43" s="2"/>
      <c r="AI43" s="2"/>
      <c r="AM43" s="90">
        <f>IF(ISBLANK(AD43),0,1)</f>
        <v>0</v>
      </c>
      <c r="AN43" s="83" t="s">
        <v>142</v>
      </c>
      <c r="AQ43" s="44" t="s">
        <v>379</v>
      </c>
      <c r="AR43" s="90">
        <f>IF(ISBLANK(AD43),1,IF(ISTEXT(AD43)=TRUE,3,2))</f>
        <v>1</v>
      </c>
      <c r="AW43" s="6" t="s">
        <v>91</v>
      </c>
      <c r="AX43" s="21" t="s">
        <v>101</v>
      </c>
      <c r="BF43" s="36"/>
      <c r="BG43" s="36"/>
      <c r="BH43" s="36"/>
      <c r="BI43" s="36"/>
      <c r="BJ43" s="36"/>
      <c r="BK43" s="36"/>
      <c r="BL43" s="36"/>
      <c r="BM43" s="36"/>
      <c r="BN43" s="36"/>
      <c r="BO43" s="36"/>
      <c r="BP43" s="36"/>
      <c r="BQ43" s="36"/>
      <c r="BR43" s="36"/>
      <c r="BS43" s="36"/>
      <c r="BT43" s="36"/>
      <c r="BU43" s="36"/>
      <c r="BV43" s="36"/>
      <c r="BW43" s="36"/>
    </row>
    <row r="44" spans="1:81" ht="15" customHeight="1" x14ac:dyDescent="0.3">
      <c r="B44" s="1"/>
      <c r="C44" s="1"/>
      <c r="D44" s="1"/>
      <c r="E44" s="1"/>
      <c r="K44" s="2"/>
      <c r="L44" s="2"/>
      <c r="M44" s="2"/>
      <c r="N44" s="2"/>
      <c r="O44" s="16"/>
      <c r="P44" s="16"/>
      <c r="Q44" s="16"/>
      <c r="R44" s="16"/>
      <c r="S44" s="16"/>
      <c r="T44" s="16"/>
      <c r="Y44" s="2"/>
      <c r="Z44" s="2"/>
      <c r="AF44" s="2"/>
      <c r="AG44" s="2"/>
      <c r="AH44" s="2"/>
      <c r="AI44" s="2"/>
      <c r="AJ44" s="16"/>
      <c r="AK44" s="16"/>
      <c r="AL44" s="16"/>
      <c r="AN44" s="83"/>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row>
    <row r="45" spans="1:81" ht="15" customHeight="1" x14ac:dyDescent="0.3">
      <c r="A45" s="240" t="s">
        <v>419</v>
      </c>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N45" s="83"/>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row>
    <row r="46" spans="1:81" ht="15" customHeight="1" x14ac:dyDescent="0.3">
      <c r="B46" s="1" t="s">
        <v>50</v>
      </c>
      <c r="C46" s="1"/>
      <c r="D46" s="1"/>
      <c r="E46" s="1"/>
      <c r="G46" s="2" t="s">
        <v>421</v>
      </c>
      <c r="H46" s="230">
        <f>'From 2A.1 - Design'!L85</f>
        <v>0</v>
      </c>
      <c r="I46" s="230"/>
      <c r="J46" s="230"/>
      <c r="K46" s="230"/>
      <c r="L46" s="230"/>
      <c r="M46" s="230"/>
      <c r="N46" s="230"/>
      <c r="O46" s="230"/>
      <c r="P46" s="230"/>
      <c r="Q46" s="16"/>
      <c r="R46" s="16"/>
      <c r="S46" s="16"/>
      <c r="T46" s="78"/>
      <c r="U46" s="1" t="s">
        <v>51</v>
      </c>
      <c r="W46" s="1"/>
      <c r="X46" s="1"/>
      <c r="Z46" s="2" t="s">
        <v>421</v>
      </c>
      <c r="AA46" s="193"/>
      <c r="AB46" s="193"/>
      <c r="AC46" s="193"/>
      <c r="AD46" s="193"/>
      <c r="AE46" s="193"/>
      <c r="AF46" s="193"/>
      <c r="AG46" s="193"/>
      <c r="AH46" s="193"/>
      <c r="AI46" s="193"/>
      <c r="AJ46" s="16"/>
      <c r="AK46" s="16"/>
      <c r="AL46" s="16"/>
      <c r="AM46" s="90">
        <f>IF(ISBLANK(AA46),1,0)</f>
        <v>1</v>
      </c>
      <c r="AN46" s="83"/>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row>
    <row r="47" spans="1:81" ht="15" customHeight="1" x14ac:dyDescent="0.3">
      <c r="B47" s="1"/>
      <c r="C47" s="1"/>
      <c r="D47" s="2" t="s">
        <v>223</v>
      </c>
      <c r="E47" s="235">
        <f>'From 2A.1 - Design'!F87</f>
        <v>0</v>
      </c>
      <c r="F47" s="235"/>
      <c r="G47" s="4" t="s">
        <v>39</v>
      </c>
      <c r="K47" s="2" t="s">
        <v>219</v>
      </c>
      <c r="L47" s="250">
        <f>'From 2A.1 - Design'!L87</f>
        <v>0</v>
      </c>
      <c r="M47" s="250"/>
      <c r="N47" s="4" t="s">
        <v>39</v>
      </c>
      <c r="T47" s="84"/>
      <c r="U47" s="2"/>
      <c r="W47" s="2" t="s">
        <v>223</v>
      </c>
      <c r="X47" s="199"/>
      <c r="Y47" s="199"/>
      <c r="Z47" s="4" t="s">
        <v>39</v>
      </c>
      <c r="AD47" s="2" t="s">
        <v>219</v>
      </c>
      <c r="AE47" s="196"/>
      <c r="AF47" s="196"/>
      <c r="AG47" s="4" t="s">
        <v>39</v>
      </c>
      <c r="AM47" s="90">
        <f>IF(ISBLANK(X47),1,0)</f>
        <v>1</v>
      </c>
      <c r="AN47" s="90">
        <f>IF(ISBLANK(AE47),1,0)</f>
        <v>1</v>
      </c>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row>
    <row r="48" spans="1:81" ht="4.95" customHeight="1" x14ac:dyDescent="0.3">
      <c r="B48" s="1"/>
      <c r="C48" s="1"/>
      <c r="D48" s="2"/>
      <c r="E48" s="14"/>
      <c r="F48" s="14"/>
      <c r="K48" s="2"/>
      <c r="L48" s="14"/>
      <c r="M48" s="14"/>
      <c r="T48" s="84"/>
      <c r="U48" s="2"/>
      <c r="W48" s="2"/>
      <c r="X48" s="14"/>
      <c r="Y48" s="14"/>
      <c r="AD48" s="2"/>
      <c r="AE48" s="14"/>
      <c r="AF48" s="14"/>
      <c r="AN48" s="83"/>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row>
    <row r="49" spans="1:75" ht="15" customHeight="1" x14ac:dyDescent="0.3">
      <c r="B49" s="1"/>
      <c r="C49" s="1"/>
      <c r="D49" s="2" t="s">
        <v>420</v>
      </c>
      <c r="E49" s="235">
        <f>'From 2A.1 - Design'!R87</f>
        <v>0</v>
      </c>
      <c r="F49" s="235"/>
      <c r="G49" s="4" t="s">
        <v>39</v>
      </c>
      <c r="L49" s="2" t="s">
        <v>427</v>
      </c>
      <c r="M49" s="100">
        <f>'From 2A.1 - Design'!AF87</f>
        <v>0</v>
      </c>
      <c r="N49" s="4" t="s">
        <v>120</v>
      </c>
      <c r="P49" s="100">
        <f>'From 2A.1 - Design'!AI87</f>
        <v>0</v>
      </c>
      <c r="Q49" s="16" t="s">
        <v>140</v>
      </c>
      <c r="T49" s="84"/>
      <c r="W49" s="2" t="s">
        <v>420</v>
      </c>
      <c r="X49" s="199"/>
      <c r="Y49" s="199"/>
      <c r="Z49" s="4" t="s">
        <v>39</v>
      </c>
      <c r="AE49" s="2" t="s">
        <v>427</v>
      </c>
      <c r="AF49" s="54"/>
      <c r="AG49" s="4" t="s">
        <v>120</v>
      </c>
      <c r="AI49" s="54"/>
      <c r="AJ49" s="16" t="s">
        <v>140</v>
      </c>
      <c r="AM49" s="90">
        <f>IF(ISBLANK(X49),1,0)</f>
        <v>1</v>
      </c>
      <c r="AN49" s="90">
        <f>IF(AND(ISBLANK(AF49),ISBLANK(AI49)),1,0)</f>
        <v>1</v>
      </c>
      <c r="AO49" s="90">
        <f>IF(ISBLANK(AI49),1,2)</f>
        <v>1</v>
      </c>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row>
    <row r="50" spans="1:75" ht="15" customHeight="1" x14ac:dyDescent="0.3">
      <c r="AV50" s="88"/>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row>
    <row r="51" spans="1:75" ht="15" customHeight="1" x14ac:dyDescent="0.3">
      <c r="AV51" s="88"/>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row>
    <row r="52" spans="1:75" ht="15" customHeight="1" x14ac:dyDescent="0.3">
      <c r="AV52" s="88"/>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row>
    <row r="53" spans="1:75" ht="15" customHeight="1" x14ac:dyDescent="0.3">
      <c r="B53" s="177">
        <f>Tables!$F$13</f>
        <v>45931</v>
      </c>
      <c r="C53" s="177"/>
      <c r="D53" s="177"/>
      <c r="E53" s="177"/>
      <c r="F53" s="177"/>
      <c r="G53" s="71"/>
      <c r="H53" s="71"/>
      <c r="I53" s="71"/>
      <c r="R53" s="197" t="s">
        <v>257</v>
      </c>
      <c r="S53" s="197"/>
      <c r="T53" s="197"/>
      <c r="U53" s="197"/>
      <c r="AV53" s="88"/>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row>
    <row r="54" spans="1:75" ht="15" customHeight="1" x14ac:dyDescent="0.3">
      <c r="C54" s="2" t="s">
        <v>1</v>
      </c>
      <c r="D54" s="180">
        <f>IF(ISBLANK($E$7),"",$E$7)</f>
        <v>0</v>
      </c>
      <c r="E54" s="180"/>
      <c r="F54" s="180"/>
      <c r="G54" s="180"/>
      <c r="H54" s="180"/>
      <c r="I54" s="180"/>
      <c r="J54" s="180"/>
      <c r="K54" s="180"/>
      <c r="L54" s="180"/>
      <c r="M54" s="180"/>
      <c r="N54" s="180"/>
      <c r="O54" s="180"/>
      <c r="P54" s="180"/>
      <c r="Q54" s="180"/>
      <c r="R54" s="180"/>
      <c r="S54" s="180"/>
      <c r="T54" s="180"/>
      <c r="U54" s="180"/>
      <c r="V54" s="180"/>
      <c r="W54" s="180"/>
      <c r="X54" s="180"/>
      <c r="Y54" s="180"/>
      <c r="Z54" s="180"/>
      <c r="AF54" s="2" t="s">
        <v>18</v>
      </c>
      <c r="AG54" s="181">
        <f>IF(ISBLANK($AF$7),0,$AF$7)</f>
        <v>0</v>
      </c>
      <c r="AH54" s="181"/>
      <c r="AI54" s="181"/>
      <c r="AJ54" s="181"/>
      <c r="AK54" s="181"/>
    </row>
    <row r="55" spans="1:75" ht="15" customHeight="1" x14ac:dyDescent="0.3">
      <c r="F55" s="3"/>
      <c r="G55" s="3"/>
      <c r="H55" s="3"/>
      <c r="I55" s="3"/>
      <c r="J55" s="3"/>
      <c r="K55" s="2"/>
      <c r="L55" s="2"/>
      <c r="M55" s="2"/>
      <c r="N55" s="2"/>
      <c r="O55" s="3"/>
      <c r="P55" s="8"/>
      <c r="Q55" s="8"/>
      <c r="R55" s="8"/>
      <c r="S55" s="8"/>
      <c r="T55" s="8"/>
      <c r="U55" s="8"/>
      <c r="V55" s="8"/>
      <c r="W55" s="8"/>
      <c r="X55" s="8"/>
      <c r="Y55" s="8"/>
      <c r="Z55" s="8"/>
      <c r="AA55" s="8"/>
      <c r="AB55" s="8"/>
      <c r="AC55" s="8"/>
      <c r="AD55" s="8"/>
      <c r="AE55" s="8"/>
      <c r="AF55" s="2" t="s">
        <v>31</v>
      </c>
      <c r="AG55" s="178">
        <f>IF(ISBLANK($AF$8),"",$AF$8)</f>
        <v>0</v>
      </c>
      <c r="AH55" s="178"/>
      <c r="AI55" s="178"/>
      <c r="AJ55" s="178"/>
      <c r="AK55" s="178"/>
    </row>
    <row r="56" spans="1:75" ht="15" customHeight="1" x14ac:dyDescent="0.3">
      <c r="F56" s="3"/>
      <c r="G56" s="3"/>
      <c r="H56" s="3"/>
      <c r="I56" s="3"/>
      <c r="J56" s="3"/>
      <c r="K56" s="2"/>
      <c r="L56" s="2"/>
      <c r="M56" s="2"/>
      <c r="N56" s="2"/>
      <c r="O56" s="3"/>
      <c r="P56" s="8"/>
      <c r="Q56" s="8"/>
      <c r="R56" s="8"/>
      <c r="S56" s="8"/>
      <c r="T56" s="8"/>
      <c r="U56" s="8"/>
      <c r="V56" s="8"/>
      <c r="W56" s="8"/>
      <c r="X56" s="8"/>
      <c r="Y56" s="8"/>
      <c r="Z56" s="8"/>
      <c r="AA56" s="8"/>
      <c r="AB56" s="8"/>
      <c r="AC56" s="8"/>
      <c r="AD56" s="8"/>
      <c r="AE56" s="8"/>
      <c r="AF56" s="8"/>
      <c r="AG56" s="8"/>
      <c r="AH56" s="8"/>
      <c r="AI56" s="8"/>
      <c r="AJ56" s="2"/>
      <c r="AK56" s="20"/>
      <c r="AL56" s="20"/>
    </row>
    <row r="57" spans="1:75" ht="15" customHeight="1" x14ac:dyDescent="0.3">
      <c r="A57" s="239" t="s">
        <v>52</v>
      </c>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row>
    <row r="58" spans="1:75" ht="15" customHeight="1" x14ac:dyDescent="0.3">
      <c r="B58" s="1" t="s">
        <v>50</v>
      </c>
      <c r="D58" s="1"/>
      <c r="E58" s="1"/>
      <c r="G58" s="1"/>
      <c r="H58" s="1"/>
      <c r="J58" s="14" t="s">
        <v>53</v>
      </c>
      <c r="K58" s="255">
        <f>'From 2A.1 - Design'!H98</f>
        <v>0</v>
      </c>
      <c r="L58" s="255"/>
      <c r="M58" s="255"/>
      <c r="N58" s="4" t="s">
        <v>33</v>
      </c>
      <c r="P58" s="4" t="s">
        <v>236</v>
      </c>
      <c r="Q58" s="217">
        <f>'From 2A.1 - Design'!AD98</f>
        <v>0</v>
      </c>
      <c r="R58" s="256"/>
      <c r="S58" s="256"/>
      <c r="T58" s="84"/>
      <c r="U58" s="1" t="s">
        <v>51</v>
      </c>
      <c r="AB58" s="14" t="s">
        <v>54</v>
      </c>
      <c r="AC58" s="200"/>
      <c r="AD58" s="200"/>
      <c r="AE58" s="200"/>
      <c r="AF58" s="4" t="s">
        <v>33</v>
      </c>
      <c r="AH58" s="4" t="s">
        <v>236</v>
      </c>
      <c r="AI58" s="199"/>
      <c r="AJ58" s="199"/>
      <c r="AK58" s="199"/>
      <c r="AM58" s="90" t="str">
        <f>IF(ISBLANK(AC58),"",IF(OR(AC58=K58,AC58&gt;K58),1,2))</f>
        <v/>
      </c>
      <c r="AN58" s="83" t="s">
        <v>146</v>
      </c>
      <c r="AO58" s="90">
        <f>IF(OR(K58=0,ISBLANK(AC58)),2,1)</f>
        <v>2</v>
      </c>
    </row>
    <row r="59" spans="1:75" ht="15" customHeight="1" x14ac:dyDescent="0.3">
      <c r="F59" s="3"/>
      <c r="G59" s="3"/>
      <c r="H59" s="3"/>
      <c r="I59" s="3"/>
      <c r="J59" s="3"/>
      <c r="K59" s="2"/>
      <c r="L59" s="2"/>
      <c r="M59" s="2"/>
      <c r="N59" s="2"/>
      <c r="O59" s="3"/>
      <c r="P59" s="8"/>
      <c r="Q59" s="8"/>
      <c r="R59" s="8"/>
      <c r="S59" s="8"/>
      <c r="T59" s="8"/>
      <c r="U59" s="8"/>
      <c r="V59" s="8"/>
      <c r="W59" s="8"/>
      <c r="X59" s="8"/>
      <c r="Y59" s="8"/>
      <c r="Z59" s="8"/>
      <c r="AA59" s="8"/>
      <c r="AB59" s="8"/>
      <c r="AC59" s="8"/>
      <c r="AD59" s="8"/>
      <c r="AE59" s="8"/>
      <c r="AF59" s="8"/>
      <c r="AG59" s="8"/>
      <c r="AH59" s="8"/>
      <c r="AI59" s="8"/>
      <c r="AJ59" s="2"/>
      <c r="AK59" s="20"/>
      <c r="AL59" s="20"/>
    </row>
    <row r="60" spans="1:75" ht="15" customHeight="1" x14ac:dyDescent="0.3">
      <c r="A60" s="239" t="s">
        <v>352</v>
      </c>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86"/>
      <c r="AN60" s="86"/>
    </row>
    <row r="61" spans="1:75" ht="15" customHeight="1" x14ac:dyDescent="0.3">
      <c r="B61" s="1" t="s">
        <v>50</v>
      </c>
      <c r="D61" s="1"/>
      <c r="E61" s="1"/>
      <c r="G61" s="1"/>
      <c r="H61" s="1"/>
      <c r="I61" s="1"/>
      <c r="J61" s="1"/>
      <c r="O61" s="2" t="s">
        <v>431</v>
      </c>
      <c r="P61" s="235"/>
      <c r="Q61" s="235"/>
      <c r="R61" s="4" t="s">
        <v>300</v>
      </c>
      <c r="T61" s="84"/>
      <c r="U61" s="1" t="s">
        <v>51</v>
      </c>
      <c r="AB61" s="1"/>
      <c r="AC61" s="1"/>
      <c r="AD61" s="1"/>
      <c r="AH61" s="2" t="s">
        <v>431</v>
      </c>
      <c r="AI61" s="199"/>
      <c r="AJ61" s="199"/>
      <c r="AK61" s="4" t="s">
        <v>300</v>
      </c>
      <c r="AM61" s="90">
        <f>IF(ISBLANK(AI61),0,IF(AI61&lt;Tables!F38,1,""))</f>
        <v>0</v>
      </c>
    </row>
    <row r="62" spans="1:75" ht="15" customHeight="1" x14ac:dyDescent="0.3">
      <c r="C62" s="197" t="s">
        <v>15</v>
      </c>
      <c r="D62" s="197"/>
      <c r="E62" s="197"/>
      <c r="F62" s="197"/>
      <c r="G62" s="6"/>
      <c r="H62" s="197" t="s">
        <v>16</v>
      </c>
      <c r="I62" s="197"/>
      <c r="J62" s="197"/>
      <c r="K62" s="197"/>
      <c r="L62" s="197"/>
      <c r="M62" s="6"/>
      <c r="N62" s="4" t="s">
        <v>45</v>
      </c>
      <c r="T62" s="84"/>
      <c r="X62" s="6" t="s">
        <v>15</v>
      </c>
      <c r="AC62" s="6" t="s">
        <v>16</v>
      </c>
      <c r="AD62" s="6"/>
      <c r="AG62" s="6"/>
      <c r="AH62" s="4" t="s">
        <v>45</v>
      </c>
      <c r="AI62" s="6"/>
    </row>
    <row r="63" spans="1:75" ht="14.55" customHeight="1" x14ac:dyDescent="0.3">
      <c r="C63" s="235">
        <f>'From 2A.1 - Design'!C91</f>
        <v>0</v>
      </c>
      <c r="D63" s="235"/>
      <c r="E63" s="235"/>
      <c r="F63" s="4" t="s">
        <v>39</v>
      </c>
      <c r="H63" s="242">
        <f>'From 2A.1 - Design'!H91</f>
        <v>0</v>
      </c>
      <c r="I63" s="242"/>
      <c r="J63" s="242"/>
      <c r="K63" s="242"/>
      <c r="L63" s="4" t="s">
        <v>35</v>
      </c>
      <c r="M63" s="87"/>
      <c r="N63" s="242">
        <f>'From 2A.1 - Design'!M91</f>
        <v>0</v>
      </c>
      <c r="O63" s="242"/>
      <c r="P63" s="242"/>
      <c r="Q63" s="242"/>
      <c r="R63" s="4" t="s">
        <v>33</v>
      </c>
      <c r="T63" s="84"/>
      <c r="W63" s="199"/>
      <c r="X63" s="199"/>
      <c r="Y63" s="199"/>
      <c r="Z63" s="4" t="s">
        <v>39</v>
      </c>
      <c r="AB63" s="200"/>
      <c r="AC63" s="200"/>
      <c r="AD63" s="200"/>
      <c r="AE63" s="200"/>
      <c r="AF63" s="4" t="s">
        <v>35</v>
      </c>
      <c r="AG63" s="6"/>
      <c r="AH63" s="200"/>
      <c r="AI63" s="200"/>
      <c r="AJ63" s="200"/>
      <c r="AK63" s="200"/>
      <c r="AL63" s="4" t="s">
        <v>33</v>
      </c>
      <c r="AM63" s="90">
        <f>IF(ISBLANK(AB63),0,1)</f>
        <v>0</v>
      </c>
      <c r="AN63" s="90">
        <f>IF(ISBLANK(AH63),0,1)</f>
        <v>0</v>
      </c>
      <c r="AO63" s="90">
        <f t="shared" ref="AO63:AO76" si="3">IF(ISBLANK(W63),1,2)</f>
        <v>1</v>
      </c>
    </row>
    <row r="64" spans="1:75" ht="14.55" customHeight="1" x14ac:dyDescent="0.3">
      <c r="C64" s="235">
        <f>'From 2A.1 - Design'!C92</f>
        <v>0</v>
      </c>
      <c r="D64" s="235"/>
      <c r="E64" s="235"/>
      <c r="F64" s="4" t="s">
        <v>39</v>
      </c>
      <c r="H64" s="242">
        <f>'From 2A.1 - Design'!H92</f>
        <v>0</v>
      </c>
      <c r="I64" s="242"/>
      <c r="J64" s="242"/>
      <c r="K64" s="242"/>
      <c r="L64" s="4" t="s">
        <v>35</v>
      </c>
      <c r="M64" s="87"/>
      <c r="N64" s="242">
        <f>'From 2A.1 - Design'!M92</f>
        <v>0</v>
      </c>
      <c r="O64" s="242"/>
      <c r="P64" s="242"/>
      <c r="Q64" s="242"/>
      <c r="R64" s="4" t="s">
        <v>33</v>
      </c>
      <c r="T64" s="84"/>
      <c r="W64" s="196"/>
      <c r="X64" s="196"/>
      <c r="Y64" s="196"/>
      <c r="Z64" s="4" t="s">
        <v>39</v>
      </c>
      <c r="AB64" s="201"/>
      <c r="AC64" s="201"/>
      <c r="AD64" s="201"/>
      <c r="AE64" s="201"/>
      <c r="AF64" s="4" t="s">
        <v>35</v>
      </c>
      <c r="AG64" s="6"/>
      <c r="AH64" s="201"/>
      <c r="AI64" s="201"/>
      <c r="AJ64" s="201"/>
      <c r="AK64" s="201"/>
      <c r="AL64" s="4" t="s">
        <v>33</v>
      </c>
      <c r="AO64" s="90">
        <f t="shared" si="3"/>
        <v>1</v>
      </c>
    </row>
    <row r="65" spans="1:44" ht="14.55" customHeight="1" x14ac:dyDescent="0.3">
      <c r="C65" s="235">
        <f>'From 2A.1 - Design'!C93</f>
        <v>0</v>
      </c>
      <c r="D65" s="235"/>
      <c r="E65" s="235"/>
      <c r="F65" s="4" t="s">
        <v>39</v>
      </c>
      <c r="H65" s="242">
        <f>'From 2A.1 - Design'!H93</f>
        <v>0</v>
      </c>
      <c r="I65" s="242"/>
      <c r="J65" s="242"/>
      <c r="K65" s="242"/>
      <c r="L65" s="4" t="s">
        <v>35</v>
      </c>
      <c r="M65" s="87"/>
      <c r="N65" s="242">
        <f>'From 2A.1 - Design'!M93</f>
        <v>0</v>
      </c>
      <c r="O65" s="242"/>
      <c r="P65" s="242"/>
      <c r="Q65" s="242"/>
      <c r="R65" s="4" t="s">
        <v>33</v>
      </c>
      <c r="T65" s="84"/>
      <c r="W65" s="196"/>
      <c r="X65" s="196"/>
      <c r="Y65" s="196"/>
      <c r="Z65" s="4" t="s">
        <v>39</v>
      </c>
      <c r="AB65" s="201"/>
      <c r="AC65" s="201"/>
      <c r="AD65" s="201"/>
      <c r="AE65" s="201"/>
      <c r="AF65" s="4" t="s">
        <v>35</v>
      </c>
      <c r="AG65" s="6"/>
      <c r="AH65" s="201"/>
      <c r="AI65" s="201"/>
      <c r="AJ65" s="201"/>
      <c r="AK65" s="201"/>
      <c r="AL65" s="4" t="s">
        <v>33</v>
      </c>
      <c r="AO65" s="90">
        <f t="shared" si="3"/>
        <v>1</v>
      </c>
    </row>
    <row r="66" spans="1:44" ht="14.55" customHeight="1" x14ac:dyDescent="0.3">
      <c r="C66" s="235">
        <f>'From 2A.1 - Design'!C94</f>
        <v>0</v>
      </c>
      <c r="D66" s="235"/>
      <c r="E66" s="235"/>
      <c r="F66" s="4" t="s">
        <v>39</v>
      </c>
      <c r="H66" s="242">
        <f>'From 2A.1 - Design'!H94</f>
        <v>0</v>
      </c>
      <c r="I66" s="242"/>
      <c r="J66" s="242"/>
      <c r="K66" s="242"/>
      <c r="L66" s="4" t="s">
        <v>35</v>
      </c>
      <c r="M66" s="87"/>
      <c r="N66" s="242">
        <f>'From 2A.1 - Design'!M94</f>
        <v>0</v>
      </c>
      <c r="O66" s="242"/>
      <c r="P66" s="242"/>
      <c r="Q66" s="242"/>
      <c r="R66" s="4" t="s">
        <v>33</v>
      </c>
      <c r="T66" s="84"/>
      <c r="W66" s="196"/>
      <c r="X66" s="196"/>
      <c r="Y66" s="196"/>
      <c r="Z66" s="4" t="s">
        <v>39</v>
      </c>
      <c r="AB66" s="201"/>
      <c r="AC66" s="201"/>
      <c r="AD66" s="201"/>
      <c r="AE66" s="201"/>
      <c r="AF66" s="4" t="s">
        <v>35</v>
      </c>
      <c r="AG66" s="6"/>
      <c r="AH66" s="201"/>
      <c r="AI66" s="201"/>
      <c r="AJ66" s="201"/>
      <c r="AK66" s="201"/>
      <c r="AL66" s="4" t="s">
        <v>33</v>
      </c>
      <c r="AO66" s="90">
        <f t="shared" si="3"/>
        <v>1</v>
      </c>
    </row>
    <row r="67" spans="1:44" ht="14.55" customHeight="1" x14ac:dyDescent="0.3">
      <c r="C67" s="235">
        <f>'From 2A.1 - Design'!C95</f>
        <v>0</v>
      </c>
      <c r="D67" s="235"/>
      <c r="E67" s="235"/>
      <c r="F67" s="4" t="s">
        <v>39</v>
      </c>
      <c r="H67" s="242">
        <f>'From 2A.1 - Design'!H95</f>
        <v>0</v>
      </c>
      <c r="I67" s="242"/>
      <c r="J67" s="242"/>
      <c r="K67" s="242"/>
      <c r="L67" s="4" t="s">
        <v>35</v>
      </c>
      <c r="M67" s="87"/>
      <c r="N67" s="242">
        <f>'From 2A.1 - Design'!M95</f>
        <v>0</v>
      </c>
      <c r="O67" s="242"/>
      <c r="P67" s="242"/>
      <c r="Q67" s="242"/>
      <c r="R67" s="4" t="s">
        <v>33</v>
      </c>
      <c r="T67" s="84"/>
      <c r="W67" s="196"/>
      <c r="X67" s="196"/>
      <c r="Y67" s="196"/>
      <c r="Z67" s="4" t="s">
        <v>39</v>
      </c>
      <c r="AB67" s="201"/>
      <c r="AC67" s="201"/>
      <c r="AD67" s="201"/>
      <c r="AE67" s="201"/>
      <c r="AF67" s="4" t="s">
        <v>35</v>
      </c>
      <c r="AG67" s="6"/>
      <c r="AH67" s="201"/>
      <c r="AI67" s="201"/>
      <c r="AJ67" s="201"/>
      <c r="AK67" s="201"/>
      <c r="AL67" s="4" t="s">
        <v>33</v>
      </c>
      <c r="AO67" s="90">
        <f t="shared" si="3"/>
        <v>1</v>
      </c>
    </row>
    <row r="68" spans="1:44" ht="14.55" customHeight="1" x14ac:dyDescent="0.3">
      <c r="C68" s="235">
        <f>'From 2A.1 - Design'!C96</f>
        <v>0</v>
      </c>
      <c r="D68" s="235"/>
      <c r="E68" s="235"/>
      <c r="F68" s="4" t="s">
        <v>39</v>
      </c>
      <c r="H68" s="242">
        <f>'From 2A.1 - Design'!H96</f>
        <v>0</v>
      </c>
      <c r="I68" s="242"/>
      <c r="J68" s="242"/>
      <c r="K68" s="242"/>
      <c r="L68" s="4" t="s">
        <v>35</v>
      </c>
      <c r="M68" s="87"/>
      <c r="N68" s="242">
        <f>'From 2A.1 - Design'!M96</f>
        <v>0</v>
      </c>
      <c r="O68" s="242"/>
      <c r="P68" s="242"/>
      <c r="Q68" s="242"/>
      <c r="R68" s="4" t="s">
        <v>33</v>
      </c>
      <c r="T68" s="84"/>
      <c r="W68" s="196"/>
      <c r="X68" s="196"/>
      <c r="Y68" s="196"/>
      <c r="Z68" s="4" t="s">
        <v>39</v>
      </c>
      <c r="AB68" s="201"/>
      <c r="AC68" s="201"/>
      <c r="AD68" s="201"/>
      <c r="AE68" s="201"/>
      <c r="AF68" s="4" t="s">
        <v>35</v>
      </c>
      <c r="AG68" s="6"/>
      <c r="AH68" s="201"/>
      <c r="AI68" s="201"/>
      <c r="AJ68" s="201"/>
      <c r="AK68" s="201"/>
      <c r="AL68" s="4" t="s">
        <v>33</v>
      </c>
      <c r="AO68" s="90">
        <f t="shared" si="3"/>
        <v>1</v>
      </c>
    </row>
    <row r="69" spans="1:44" ht="14.55" customHeight="1" x14ac:dyDescent="0.3">
      <c r="C69" s="235">
        <f>'From 2A.1 - Design'!C97</f>
        <v>0</v>
      </c>
      <c r="D69" s="235"/>
      <c r="E69" s="235"/>
      <c r="F69" s="4" t="s">
        <v>39</v>
      </c>
      <c r="H69" s="242">
        <f>'From 2A.1 - Design'!H97</f>
        <v>0</v>
      </c>
      <c r="I69" s="242"/>
      <c r="J69" s="242"/>
      <c r="K69" s="242"/>
      <c r="L69" s="4" t="s">
        <v>35</v>
      </c>
      <c r="M69" s="87"/>
      <c r="N69" s="242">
        <f>'From 2A.1 - Design'!M97</f>
        <v>0</v>
      </c>
      <c r="O69" s="242"/>
      <c r="P69" s="242"/>
      <c r="Q69" s="242"/>
      <c r="R69" s="4" t="s">
        <v>33</v>
      </c>
      <c r="T69" s="84"/>
      <c r="W69" s="196"/>
      <c r="X69" s="196"/>
      <c r="Y69" s="196"/>
      <c r="Z69" s="4" t="s">
        <v>39</v>
      </c>
      <c r="AB69" s="201"/>
      <c r="AC69" s="201"/>
      <c r="AD69" s="201"/>
      <c r="AE69" s="201"/>
      <c r="AF69" s="4" t="s">
        <v>35</v>
      </c>
      <c r="AG69" s="6"/>
      <c r="AH69" s="201"/>
      <c r="AI69" s="201"/>
      <c r="AJ69" s="201"/>
      <c r="AK69" s="201"/>
      <c r="AL69" s="4" t="s">
        <v>33</v>
      </c>
      <c r="AO69" s="90">
        <f t="shared" si="3"/>
        <v>1</v>
      </c>
    </row>
    <row r="70" spans="1:44" ht="14.55" customHeight="1" x14ac:dyDescent="0.3">
      <c r="C70" s="250">
        <f>'From 2A.1 - Design'!S91</f>
        <v>0</v>
      </c>
      <c r="D70" s="250"/>
      <c r="E70" s="250"/>
      <c r="F70" s="4" t="s">
        <v>39</v>
      </c>
      <c r="H70" s="237">
        <f>'From 2A.1 - Design'!X91</f>
        <v>0</v>
      </c>
      <c r="I70" s="237"/>
      <c r="J70" s="237"/>
      <c r="K70" s="237"/>
      <c r="L70" s="4" t="s">
        <v>35</v>
      </c>
      <c r="M70" s="87"/>
      <c r="N70" s="237">
        <f>'From 2A.1 - Design'!AD91</f>
        <v>0</v>
      </c>
      <c r="O70" s="237"/>
      <c r="P70" s="237"/>
      <c r="Q70" s="237"/>
      <c r="R70" s="4" t="s">
        <v>33</v>
      </c>
      <c r="T70" s="84"/>
      <c r="W70" s="196"/>
      <c r="X70" s="196"/>
      <c r="Y70" s="196"/>
      <c r="Z70" s="4" t="s">
        <v>39</v>
      </c>
      <c r="AB70" s="201"/>
      <c r="AC70" s="201"/>
      <c r="AD70" s="201"/>
      <c r="AE70" s="201"/>
      <c r="AF70" s="4" t="s">
        <v>35</v>
      </c>
      <c r="AG70" s="6"/>
      <c r="AH70" s="201"/>
      <c r="AI70" s="201"/>
      <c r="AJ70" s="201"/>
      <c r="AK70" s="201"/>
      <c r="AL70" s="4" t="s">
        <v>33</v>
      </c>
      <c r="AO70" s="90">
        <f t="shared" si="3"/>
        <v>1</v>
      </c>
    </row>
    <row r="71" spans="1:44" ht="14.55" customHeight="1" x14ac:dyDescent="0.3">
      <c r="C71" s="250">
        <f>'From 2A.1 - Design'!S92</f>
        <v>0</v>
      </c>
      <c r="D71" s="250"/>
      <c r="E71" s="250"/>
      <c r="F71" s="4" t="s">
        <v>39</v>
      </c>
      <c r="H71" s="237">
        <f>'From 2A.1 - Design'!X92</f>
        <v>0</v>
      </c>
      <c r="I71" s="237"/>
      <c r="J71" s="237"/>
      <c r="K71" s="237"/>
      <c r="L71" s="4" t="s">
        <v>35</v>
      </c>
      <c r="M71" s="87"/>
      <c r="N71" s="237">
        <f>'From 2A.1 - Design'!AD92</f>
        <v>0</v>
      </c>
      <c r="O71" s="237"/>
      <c r="P71" s="237"/>
      <c r="Q71" s="237"/>
      <c r="R71" s="4" t="s">
        <v>33</v>
      </c>
      <c r="T71" s="84"/>
      <c r="W71" s="196"/>
      <c r="X71" s="196"/>
      <c r="Y71" s="196"/>
      <c r="Z71" s="4" t="s">
        <v>39</v>
      </c>
      <c r="AB71" s="201"/>
      <c r="AC71" s="201"/>
      <c r="AD71" s="201"/>
      <c r="AE71" s="201"/>
      <c r="AF71" s="4" t="s">
        <v>35</v>
      </c>
      <c r="AG71" s="6"/>
      <c r="AH71" s="201"/>
      <c r="AI71" s="201"/>
      <c r="AJ71" s="201"/>
      <c r="AK71" s="201"/>
      <c r="AL71" s="4" t="s">
        <v>33</v>
      </c>
      <c r="AO71" s="90">
        <f t="shared" si="3"/>
        <v>1</v>
      </c>
    </row>
    <row r="72" spans="1:44" ht="14.55" customHeight="1" x14ac:dyDescent="0.3">
      <c r="C72" s="250">
        <f>'From 2A.1 - Design'!S93</f>
        <v>0</v>
      </c>
      <c r="D72" s="250"/>
      <c r="E72" s="250"/>
      <c r="F72" s="4" t="s">
        <v>39</v>
      </c>
      <c r="H72" s="237">
        <f>'From 2A.1 - Design'!X93</f>
        <v>0</v>
      </c>
      <c r="I72" s="237"/>
      <c r="J72" s="237"/>
      <c r="K72" s="237"/>
      <c r="L72" s="4" t="s">
        <v>35</v>
      </c>
      <c r="M72" s="87"/>
      <c r="N72" s="237">
        <f>'From 2A.1 - Design'!AD93</f>
        <v>0</v>
      </c>
      <c r="O72" s="237"/>
      <c r="P72" s="237"/>
      <c r="Q72" s="237"/>
      <c r="R72" s="4" t="s">
        <v>33</v>
      </c>
      <c r="T72" s="84"/>
      <c r="W72" s="196"/>
      <c r="X72" s="196"/>
      <c r="Y72" s="196"/>
      <c r="Z72" s="4" t="s">
        <v>39</v>
      </c>
      <c r="AB72" s="201"/>
      <c r="AC72" s="201"/>
      <c r="AD72" s="201"/>
      <c r="AE72" s="201"/>
      <c r="AF72" s="4" t="s">
        <v>35</v>
      </c>
      <c r="AG72" s="6"/>
      <c r="AH72" s="201"/>
      <c r="AI72" s="201"/>
      <c r="AJ72" s="201"/>
      <c r="AK72" s="201"/>
      <c r="AL72" s="4" t="s">
        <v>33</v>
      </c>
      <c r="AO72" s="90">
        <f t="shared" si="3"/>
        <v>1</v>
      </c>
    </row>
    <row r="73" spans="1:44" ht="14.55" customHeight="1" x14ac:dyDescent="0.3">
      <c r="C73" s="250">
        <f>'From 2A.1 - Design'!S94</f>
        <v>0</v>
      </c>
      <c r="D73" s="250"/>
      <c r="E73" s="250"/>
      <c r="F73" s="4" t="s">
        <v>39</v>
      </c>
      <c r="H73" s="237">
        <f>'From 2A.1 - Design'!X94</f>
        <v>0</v>
      </c>
      <c r="I73" s="237"/>
      <c r="J73" s="237"/>
      <c r="K73" s="237"/>
      <c r="L73" s="4" t="s">
        <v>35</v>
      </c>
      <c r="M73" s="87"/>
      <c r="N73" s="237">
        <f>'From 2A.1 - Design'!AD94</f>
        <v>0</v>
      </c>
      <c r="O73" s="237"/>
      <c r="P73" s="237"/>
      <c r="Q73" s="237"/>
      <c r="R73" s="4" t="s">
        <v>33</v>
      </c>
      <c r="T73" s="84"/>
      <c r="W73" s="196"/>
      <c r="X73" s="196"/>
      <c r="Y73" s="196"/>
      <c r="Z73" s="4" t="s">
        <v>39</v>
      </c>
      <c r="AB73" s="201"/>
      <c r="AC73" s="201"/>
      <c r="AD73" s="201"/>
      <c r="AE73" s="201"/>
      <c r="AF73" s="4" t="s">
        <v>35</v>
      </c>
      <c r="AG73" s="6"/>
      <c r="AH73" s="201"/>
      <c r="AI73" s="201"/>
      <c r="AJ73" s="201"/>
      <c r="AK73" s="201"/>
      <c r="AL73" s="4" t="s">
        <v>33</v>
      </c>
      <c r="AO73" s="90">
        <f t="shared" si="3"/>
        <v>1</v>
      </c>
    </row>
    <row r="74" spans="1:44" ht="14.55" customHeight="1" x14ac:dyDescent="0.3">
      <c r="C74" s="250">
        <f>'From 2A.1 - Design'!S95</f>
        <v>0</v>
      </c>
      <c r="D74" s="250"/>
      <c r="E74" s="250"/>
      <c r="F74" s="4" t="s">
        <v>39</v>
      </c>
      <c r="H74" s="237">
        <f>'From 2A.1 - Design'!X95</f>
        <v>0</v>
      </c>
      <c r="I74" s="237"/>
      <c r="J74" s="237"/>
      <c r="K74" s="237"/>
      <c r="L74" s="4" t="s">
        <v>35</v>
      </c>
      <c r="M74" s="87"/>
      <c r="N74" s="237">
        <f>'From 2A.1 - Design'!AD95</f>
        <v>0</v>
      </c>
      <c r="O74" s="237"/>
      <c r="P74" s="237"/>
      <c r="Q74" s="237"/>
      <c r="R74" s="4" t="s">
        <v>33</v>
      </c>
      <c r="T74" s="84"/>
      <c r="W74" s="196"/>
      <c r="X74" s="196"/>
      <c r="Y74" s="196"/>
      <c r="Z74" s="4" t="s">
        <v>39</v>
      </c>
      <c r="AB74" s="201"/>
      <c r="AC74" s="201"/>
      <c r="AD74" s="201"/>
      <c r="AE74" s="201"/>
      <c r="AF74" s="4" t="s">
        <v>35</v>
      </c>
      <c r="AG74" s="6"/>
      <c r="AH74" s="201"/>
      <c r="AI74" s="201"/>
      <c r="AJ74" s="201"/>
      <c r="AK74" s="201"/>
      <c r="AL74" s="4" t="s">
        <v>33</v>
      </c>
      <c r="AO74" s="90">
        <f t="shared" si="3"/>
        <v>1</v>
      </c>
    </row>
    <row r="75" spans="1:44" ht="14.55" customHeight="1" x14ac:dyDescent="0.3">
      <c r="C75" s="250">
        <f>'From 2A.1 - Design'!S96</f>
        <v>0</v>
      </c>
      <c r="D75" s="250"/>
      <c r="E75" s="250"/>
      <c r="F75" s="4" t="s">
        <v>39</v>
      </c>
      <c r="H75" s="237">
        <f>'From 2A.1 - Design'!X96</f>
        <v>0</v>
      </c>
      <c r="I75" s="237"/>
      <c r="J75" s="237"/>
      <c r="K75" s="237"/>
      <c r="L75" s="4" t="s">
        <v>35</v>
      </c>
      <c r="M75" s="87"/>
      <c r="N75" s="237">
        <f>'From 2A.1 - Design'!AD96</f>
        <v>0</v>
      </c>
      <c r="O75" s="237"/>
      <c r="P75" s="237"/>
      <c r="Q75" s="237"/>
      <c r="R75" s="4" t="s">
        <v>33</v>
      </c>
      <c r="T75" s="84"/>
      <c r="W75" s="196"/>
      <c r="X75" s="196"/>
      <c r="Y75" s="196"/>
      <c r="Z75" s="4" t="s">
        <v>39</v>
      </c>
      <c r="AB75" s="201"/>
      <c r="AC75" s="201"/>
      <c r="AD75" s="201"/>
      <c r="AE75" s="201"/>
      <c r="AF75" s="4" t="s">
        <v>35</v>
      </c>
      <c r="AG75" s="6"/>
      <c r="AH75" s="201"/>
      <c r="AI75" s="201"/>
      <c r="AJ75" s="201"/>
      <c r="AK75" s="201"/>
      <c r="AL75" s="4" t="s">
        <v>33</v>
      </c>
      <c r="AO75" s="90">
        <f t="shared" si="3"/>
        <v>1</v>
      </c>
    </row>
    <row r="76" spans="1:44" ht="14.55" customHeight="1" x14ac:dyDescent="0.3">
      <c r="C76" s="250">
        <f>'From 2A.1 - Design'!S97</f>
        <v>0</v>
      </c>
      <c r="D76" s="250"/>
      <c r="E76" s="250"/>
      <c r="F76" s="4" t="s">
        <v>39</v>
      </c>
      <c r="H76" s="237">
        <f>'From 2A.1 - Design'!X97</f>
        <v>0</v>
      </c>
      <c r="I76" s="237"/>
      <c r="J76" s="237"/>
      <c r="K76" s="237"/>
      <c r="L76" s="4" t="s">
        <v>35</v>
      </c>
      <c r="M76" s="87"/>
      <c r="N76" s="237">
        <f>'From 2A.1 - Design'!AD97</f>
        <v>0</v>
      </c>
      <c r="O76" s="237"/>
      <c r="P76" s="237"/>
      <c r="Q76" s="237"/>
      <c r="R76" s="4" t="s">
        <v>33</v>
      </c>
      <c r="T76" s="84"/>
      <c r="W76" s="196"/>
      <c r="X76" s="196"/>
      <c r="Y76" s="196"/>
      <c r="Z76" s="4" t="s">
        <v>39</v>
      </c>
      <c r="AB76" s="201"/>
      <c r="AC76" s="201"/>
      <c r="AD76" s="201"/>
      <c r="AE76" s="201"/>
      <c r="AF76" s="4" t="s">
        <v>35</v>
      </c>
      <c r="AG76" s="6"/>
      <c r="AH76" s="201"/>
      <c r="AI76" s="201"/>
      <c r="AJ76" s="201"/>
      <c r="AK76" s="201"/>
      <c r="AL76" s="4" t="s">
        <v>33</v>
      </c>
      <c r="AO76" s="90">
        <f t="shared" si="3"/>
        <v>1</v>
      </c>
    </row>
    <row r="77" spans="1:44" ht="15" customHeight="1" x14ac:dyDescent="0.3">
      <c r="F77" s="13"/>
      <c r="G77" s="13"/>
      <c r="H77" s="13"/>
      <c r="I77" s="13"/>
      <c r="K77" s="87"/>
      <c r="L77" s="87"/>
      <c r="M77" s="87"/>
      <c r="N77" s="87"/>
      <c r="P77" s="12"/>
      <c r="Q77" s="12"/>
      <c r="R77" s="12"/>
      <c r="S77" s="12"/>
      <c r="T77" s="12"/>
      <c r="AA77" s="13"/>
      <c r="AB77" s="13"/>
      <c r="AC77" s="13"/>
      <c r="AD77" s="13"/>
      <c r="AF77" s="87"/>
      <c r="AG77" s="87"/>
      <c r="AH77" s="12"/>
      <c r="AI77" s="12"/>
      <c r="AJ77" s="12"/>
      <c r="AK77" s="12"/>
    </row>
    <row r="78" spans="1:44" ht="15" customHeight="1" x14ac:dyDescent="0.3">
      <c r="A78" s="239" t="s">
        <v>351</v>
      </c>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86"/>
      <c r="AN78" s="86"/>
      <c r="AP78" s="90">
        <f>Tables!F26</f>
        <v>6</v>
      </c>
      <c r="AQ78" s="83" t="s">
        <v>243</v>
      </c>
    </row>
    <row r="79" spans="1:44" ht="30" customHeight="1" x14ac:dyDescent="0.3">
      <c r="B79" s="1" t="s">
        <v>50</v>
      </c>
      <c r="G79" s="1"/>
      <c r="H79" s="1"/>
      <c r="I79" s="238" t="s">
        <v>122</v>
      </c>
      <c r="J79" s="238"/>
      <c r="K79" s="238"/>
      <c r="L79" s="128"/>
      <c r="M79" s="238" t="s">
        <v>123</v>
      </c>
      <c r="N79" s="238"/>
      <c r="O79" s="238"/>
      <c r="Q79" s="238" t="s">
        <v>124</v>
      </c>
      <c r="R79" s="238"/>
      <c r="S79" s="238"/>
      <c r="U79" s="238" t="s">
        <v>203</v>
      </c>
      <c r="V79" s="238"/>
      <c r="W79" s="238"/>
      <c r="Y79" s="238" t="s">
        <v>393</v>
      </c>
      <c r="Z79" s="238"/>
      <c r="AA79" s="238"/>
      <c r="AB79" s="238"/>
      <c r="AD79" s="238" t="s">
        <v>392</v>
      </c>
      <c r="AE79" s="238"/>
      <c r="AF79" s="238"/>
      <c r="AG79" s="89"/>
      <c r="AH79" s="238" t="s">
        <v>125</v>
      </c>
      <c r="AI79" s="238"/>
      <c r="AJ79" s="238"/>
      <c r="AK79" s="238"/>
      <c r="AM79" s="75" t="s">
        <v>337</v>
      </c>
      <c r="AN79" s="42" t="s">
        <v>305</v>
      </c>
      <c r="AO79" s="75" t="s">
        <v>357</v>
      </c>
    </row>
    <row r="80" spans="1:44" ht="14.55" customHeight="1" x14ac:dyDescent="0.3">
      <c r="C80" s="206">
        <f>Tables!$F$16</f>
        <v>6.02</v>
      </c>
      <c r="D80" s="206"/>
      <c r="G80" s="2" t="str">
        <f>Tables!$D$16</f>
        <v>(2-yr)</v>
      </c>
      <c r="H80" s="13"/>
      <c r="I80" s="217">
        <f>'From 2A.1 - Design'!I106</f>
        <v>0</v>
      </c>
      <c r="J80" s="217"/>
      <c r="K80" s="217"/>
      <c r="L80" s="18"/>
      <c r="M80" s="227">
        <f>'From 2A.1 - Design'!M106</f>
        <v>0</v>
      </c>
      <c r="N80" s="227"/>
      <c r="O80" s="227"/>
      <c r="Q80" s="227">
        <f>'From 2A.1 - Design'!Q106</f>
        <v>0</v>
      </c>
      <c r="R80" s="227"/>
      <c r="S80" s="227"/>
      <c r="U80" s="227">
        <f>'From 2A.1 - Design'!U106</f>
        <v>0</v>
      </c>
      <c r="V80" s="227"/>
      <c r="W80" s="227"/>
      <c r="Y80" s="227">
        <f>'From 2A.1 - Design'!Y106</f>
        <v>0</v>
      </c>
      <c r="Z80" s="227"/>
      <c r="AA80" s="227"/>
      <c r="AB80" s="227"/>
      <c r="AD80" s="227">
        <f>'From 2A.1 - Design'!AC106</f>
        <v>0</v>
      </c>
      <c r="AE80" s="227"/>
      <c r="AF80" s="227"/>
      <c r="AH80" s="227">
        <f>'From 2A.1 - Design'!AG106</f>
        <v>0</v>
      </c>
      <c r="AI80" s="227"/>
      <c r="AJ80" s="227"/>
      <c r="AK80" s="227"/>
      <c r="AM80" s="90">
        <f>IF(AH80&gt;I80,1,0)</f>
        <v>0</v>
      </c>
      <c r="AN80" s="90">
        <f>IF(OR($AR$81=0,$AR$83=2),0,IF(AH80&gt;$AR$81,1,0))</f>
        <v>0</v>
      </c>
      <c r="AO80" s="90">
        <f>IF(OR($AR$82=0,$AR$83=2),0,IF($AH80&gt;$AR$82,1,0))</f>
        <v>0</v>
      </c>
      <c r="AQ80" s="75" t="s">
        <v>362</v>
      </c>
      <c r="AR80" s="75" t="s">
        <v>147</v>
      </c>
    </row>
    <row r="81" spans="2:48" ht="14.55" customHeight="1" x14ac:dyDescent="0.3">
      <c r="C81" s="206">
        <f>Tables!$F$17</f>
        <v>7.68</v>
      </c>
      <c r="D81" s="206"/>
      <c r="G81" s="2" t="str">
        <f>Tables!$D$17</f>
        <v>(5-yr)</v>
      </c>
      <c r="H81" s="13"/>
      <c r="I81" s="244">
        <f>'From 2A.1 - Design'!I107</f>
        <v>0</v>
      </c>
      <c r="J81" s="244"/>
      <c r="K81" s="244"/>
      <c r="L81" s="18"/>
      <c r="M81" s="241">
        <f>'From 2A.1 - Design'!M107</f>
        <v>0</v>
      </c>
      <c r="N81" s="241"/>
      <c r="O81" s="241"/>
      <c r="Q81" s="241">
        <f>'From 2A.1 - Design'!Q107</f>
        <v>0</v>
      </c>
      <c r="R81" s="241"/>
      <c r="S81" s="241"/>
      <c r="U81" s="241">
        <f>'From 2A.1 - Design'!U107</f>
        <v>0</v>
      </c>
      <c r="V81" s="241"/>
      <c r="W81" s="241"/>
      <c r="Y81" s="227">
        <f>'From 2A.1 - Design'!Y107</f>
        <v>0</v>
      </c>
      <c r="Z81" s="227"/>
      <c r="AA81" s="227"/>
      <c r="AB81" s="227"/>
      <c r="AD81" s="241">
        <f>'From 2A.1 - Design'!AC107</f>
        <v>0</v>
      </c>
      <c r="AE81" s="241"/>
      <c r="AF81" s="241"/>
      <c r="AH81" s="241">
        <f>'From 2A.1 - Design'!AG107</f>
        <v>0</v>
      </c>
      <c r="AI81" s="241"/>
      <c r="AJ81" s="241"/>
      <c r="AK81" s="241"/>
      <c r="AM81" s="90">
        <f t="shared" ref="AM81:AM85" si="4">IF(AH81&gt;I81,1,0)</f>
        <v>0</v>
      </c>
      <c r="AN81" s="90">
        <f>IF(OR($AR$81=0,$AR$83=2),0,IF(AH81&gt;$AR$81,1,0))</f>
        <v>0</v>
      </c>
      <c r="AO81" s="90">
        <f>IF(OR($AR$82=0,$AR$83=2),0,IF($AH81&gt;$AR$82,1,0))</f>
        <v>0</v>
      </c>
      <c r="AP81" s="97">
        <f>IF(AQ81="Yes",'From 2A.1 - Design'!AM124,1)</f>
        <v>1</v>
      </c>
      <c r="AQ81" s="90" t="str">
        <f>'From 2A.1 - Design'!AO124</f>
        <v>No</v>
      </c>
      <c r="AR81" s="92">
        <f>'From 2A.1 - Design'!AN124</f>
        <v>0</v>
      </c>
      <c r="AS81" s="83" t="s">
        <v>305</v>
      </c>
      <c r="AT81" s="83"/>
    </row>
    <row r="82" spans="2:48" ht="14.55" customHeight="1" x14ac:dyDescent="0.3">
      <c r="C82" s="206">
        <f>Tables!$F$18</f>
        <v>9.26</v>
      </c>
      <c r="D82" s="206"/>
      <c r="G82" s="2" t="str">
        <f>Tables!$D$18</f>
        <v>(10-yr)</v>
      </c>
      <c r="H82" s="13"/>
      <c r="I82" s="244">
        <f>'From 2A.1 - Design'!I108</f>
        <v>0</v>
      </c>
      <c r="J82" s="244"/>
      <c r="K82" s="244"/>
      <c r="L82" s="18"/>
      <c r="M82" s="241">
        <f>'From 2A.1 - Design'!M108</f>
        <v>0</v>
      </c>
      <c r="N82" s="241"/>
      <c r="O82" s="241"/>
      <c r="Q82" s="241">
        <f>'From 2A.1 - Design'!Q108</f>
        <v>0</v>
      </c>
      <c r="R82" s="241"/>
      <c r="S82" s="241"/>
      <c r="U82" s="241">
        <f>'From 2A.1 - Design'!U108</f>
        <v>0</v>
      </c>
      <c r="V82" s="241"/>
      <c r="W82" s="241"/>
      <c r="Y82" s="227">
        <f>'From 2A.1 - Design'!Y108</f>
        <v>0</v>
      </c>
      <c r="Z82" s="227"/>
      <c r="AA82" s="227"/>
      <c r="AB82" s="227"/>
      <c r="AD82" s="241">
        <f>'From 2A.1 - Design'!AC108</f>
        <v>0</v>
      </c>
      <c r="AE82" s="241"/>
      <c r="AF82" s="241"/>
      <c r="AH82" s="241">
        <f>'From 2A.1 - Design'!AG108</f>
        <v>0</v>
      </c>
      <c r="AI82" s="241"/>
      <c r="AJ82" s="241"/>
      <c r="AK82" s="241"/>
      <c r="AM82" s="90">
        <f t="shared" si="4"/>
        <v>0</v>
      </c>
      <c r="AN82" s="90">
        <f t="shared" ref="AN82:AN85" si="5">IF(OR($AR$81=0,$AR$83=2),0,IF(AH82&gt;$AR$81,1,0))</f>
        <v>0</v>
      </c>
      <c r="AO82" s="90">
        <f t="shared" ref="AO82:AO85" si="6">IF(OR($AR$82=0,$AR$83=2),0,IF($AH82&gt;$AR$82,1,0))</f>
        <v>0</v>
      </c>
      <c r="AP82" s="97">
        <f>IF(AQ82="Yes",'From 2A.1 - Design'!AM126,1)</f>
        <v>1</v>
      </c>
      <c r="AQ82" s="90" t="str">
        <f>'From 2A.1 - Design'!AO126</f>
        <v>No</v>
      </c>
      <c r="AR82" s="92">
        <f>'From 2A.1 - Design'!AN126</f>
        <v>0</v>
      </c>
      <c r="AS82" s="42" t="s">
        <v>340</v>
      </c>
      <c r="AT82" s="42"/>
    </row>
    <row r="83" spans="2:48" ht="14.55" customHeight="1" x14ac:dyDescent="0.3">
      <c r="C83" s="206">
        <f>Tables!$F$19</f>
        <v>11.7</v>
      </c>
      <c r="D83" s="206"/>
      <c r="G83" s="2" t="str">
        <f>Tables!$D$19</f>
        <v>(25-yr)</v>
      </c>
      <c r="H83" s="13"/>
      <c r="I83" s="244">
        <f>'From 2A.1 - Design'!I109</f>
        <v>0</v>
      </c>
      <c r="J83" s="244"/>
      <c r="K83" s="244"/>
      <c r="L83" s="18"/>
      <c r="M83" s="241">
        <f>'From 2A.1 - Design'!M109</f>
        <v>0</v>
      </c>
      <c r="N83" s="241"/>
      <c r="O83" s="241"/>
      <c r="Q83" s="241">
        <f>'From 2A.1 - Design'!Q109</f>
        <v>0</v>
      </c>
      <c r="R83" s="241"/>
      <c r="S83" s="241"/>
      <c r="U83" s="241">
        <f>'From 2A.1 - Design'!U109</f>
        <v>0</v>
      </c>
      <c r="V83" s="241"/>
      <c r="W83" s="241"/>
      <c r="Y83" s="227">
        <f>'From 2A.1 - Design'!Y109</f>
        <v>0</v>
      </c>
      <c r="Z83" s="227"/>
      <c r="AA83" s="227"/>
      <c r="AB83" s="227"/>
      <c r="AD83" s="241">
        <f>'From 2A.1 - Design'!AC109</f>
        <v>0</v>
      </c>
      <c r="AE83" s="241"/>
      <c r="AF83" s="241"/>
      <c r="AH83" s="241">
        <f>'From 2A.1 - Design'!AG109</f>
        <v>0</v>
      </c>
      <c r="AI83" s="241"/>
      <c r="AJ83" s="241"/>
      <c r="AK83" s="241"/>
      <c r="AM83" s="90">
        <f t="shared" si="4"/>
        <v>0</v>
      </c>
      <c r="AN83" s="90">
        <f t="shared" si="5"/>
        <v>0</v>
      </c>
      <c r="AO83" s="90">
        <f t="shared" si="6"/>
        <v>0</v>
      </c>
      <c r="AR83" s="90">
        <f>'From 2A.1 - Design'!AN142</f>
        <v>1</v>
      </c>
      <c r="AS83" s="42" t="s">
        <v>397</v>
      </c>
      <c r="AT83" s="42"/>
    </row>
    <row r="84" spans="2:48" ht="14.55" customHeight="1" x14ac:dyDescent="0.3">
      <c r="C84" s="206">
        <f>Tables!$F$20</f>
        <v>13.9</v>
      </c>
      <c r="D84" s="206"/>
      <c r="G84" s="2" t="str">
        <f>Tables!$D$20</f>
        <v>(50-yr)</v>
      </c>
      <c r="H84" s="13"/>
      <c r="I84" s="244">
        <f>'From 2A.1 - Design'!I110</f>
        <v>0</v>
      </c>
      <c r="J84" s="244"/>
      <c r="K84" s="244"/>
      <c r="L84" s="18"/>
      <c r="M84" s="241">
        <f>'From 2A.1 - Design'!M110</f>
        <v>0</v>
      </c>
      <c r="N84" s="241"/>
      <c r="O84" s="241"/>
      <c r="Q84" s="241">
        <f>'From 2A.1 - Design'!Q110</f>
        <v>0</v>
      </c>
      <c r="R84" s="241"/>
      <c r="S84" s="241"/>
      <c r="U84" s="241">
        <f>'From 2A.1 - Design'!U110</f>
        <v>0</v>
      </c>
      <c r="V84" s="241"/>
      <c r="W84" s="241"/>
      <c r="Y84" s="227">
        <f>'From 2A.1 - Design'!Y110</f>
        <v>0</v>
      </c>
      <c r="Z84" s="227"/>
      <c r="AA84" s="227"/>
      <c r="AB84" s="227"/>
      <c r="AD84" s="241">
        <f>'From 2A.1 - Design'!AC110</f>
        <v>0</v>
      </c>
      <c r="AE84" s="241"/>
      <c r="AF84" s="241"/>
      <c r="AH84" s="241">
        <f>'From 2A.1 - Design'!AG110</f>
        <v>0</v>
      </c>
      <c r="AI84" s="241"/>
      <c r="AJ84" s="241"/>
      <c r="AK84" s="241"/>
      <c r="AM84" s="90">
        <f t="shared" si="4"/>
        <v>0</v>
      </c>
      <c r="AN84" s="90">
        <f t="shared" si="5"/>
        <v>0</v>
      </c>
      <c r="AO84" s="90">
        <f t="shared" si="6"/>
        <v>0</v>
      </c>
    </row>
    <row r="85" spans="2:48" ht="14.55" customHeight="1" x14ac:dyDescent="0.3">
      <c r="C85" s="206">
        <f>Tables!$F$21</f>
        <v>16.3</v>
      </c>
      <c r="D85" s="206"/>
      <c r="G85" s="2" t="str">
        <f>Tables!$D$21</f>
        <v>(100-yr)</v>
      </c>
      <c r="H85" s="13"/>
      <c r="I85" s="244">
        <f>'From 2A.1 - Design'!I111</f>
        <v>0</v>
      </c>
      <c r="J85" s="244"/>
      <c r="K85" s="244"/>
      <c r="L85" s="18"/>
      <c r="M85" s="241">
        <f>'From 2A.1 - Design'!M111</f>
        <v>0</v>
      </c>
      <c r="N85" s="241"/>
      <c r="O85" s="241"/>
      <c r="Q85" s="241">
        <f>'From 2A.1 - Design'!Q111</f>
        <v>0</v>
      </c>
      <c r="R85" s="241"/>
      <c r="S85" s="241"/>
      <c r="U85" s="241">
        <f>'From 2A.1 - Design'!U111</f>
        <v>0</v>
      </c>
      <c r="V85" s="241"/>
      <c r="W85" s="241"/>
      <c r="Y85" s="227">
        <f>'From 2A.1 - Design'!Y111</f>
        <v>0</v>
      </c>
      <c r="Z85" s="227"/>
      <c r="AA85" s="227"/>
      <c r="AB85" s="227"/>
      <c r="AD85" s="241">
        <f>'From 2A.1 - Design'!AC111</f>
        <v>0</v>
      </c>
      <c r="AE85" s="241"/>
      <c r="AF85" s="241"/>
      <c r="AH85" s="241">
        <f>'From 2A.1 - Design'!AG111</f>
        <v>0</v>
      </c>
      <c r="AI85" s="241"/>
      <c r="AJ85" s="241"/>
      <c r="AK85" s="241"/>
      <c r="AM85" s="90">
        <f t="shared" si="4"/>
        <v>0</v>
      </c>
      <c r="AN85" s="90">
        <f t="shared" si="5"/>
        <v>0</v>
      </c>
      <c r="AO85" s="90">
        <f t="shared" si="6"/>
        <v>0</v>
      </c>
    </row>
    <row r="86" spans="2:48" ht="4.95" customHeight="1" x14ac:dyDescent="0.3">
      <c r="G86" s="2"/>
      <c r="L86" s="2"/>
      <c r="M86" s="2"/>
      <c r="O86" s="18"/>
      <c r="Q86" s="18"/>
      <c r="S86" s="8"/>
      <c r="U86" s="8"/>
      <c r="Y86" s="8"/>
      <c r="Z86" s="8"/>
      <c r="AB86" s="8"/>
      <c r="AD86" s="8"/>
      <c r="AE86" s="8"/>
      <c r="AG86" s="8"/>
      <c r="AH86" s="8"/>
      <c r="AI86" s="8"/>
      <c r="AK86" s="8"/>
      <c r="AL86" s="8"/>
      <c r="AM86" s="122"/>
      <c r="AN86" s="123"/>
      <c r="AO86" s="124"/>
    </row>
    <row r="87" spans="2:48" ht="30" customHeight="1" x14ac:dyDescent="0.3">
      <c r="B87" s="1" t="s">
        <v>51</v>
      </c>
      <c r="G87" s="1"/>
      <c r="H87" s="1"/>
      <c r="I87" s="238" t="s">
        <v>122</v>
      </c>
      <c r="J87" s="238"/>
      <c r="K87" s="238"/>
      <c r="L87" s="128"/>
      <c r="M87" s="238" t="s">
        <v>123</v>
      </c>
      <c r="N87" s="238"/>
      <c r="O87" s="238"/>
      <c r="Q87" s="238" t="s">
        <v>124</v>
      </c>
      <c r="R87" s="238"/>
      <c r="S87" s="238"/>
      <c r="U87" s="238" t="s">
        <v>57</v>
      </c>
      <c r="V87" s="238"/>
      <c r="W87" s="238"/>
      <c r="Y87" s="238" t="s">
        <v>393</v>
      </c>
      <c r="Z87" s="238"/>
      <c r="AA87" s="238"/>
      <c r="AB87" s="238"/>
      <c r="AD87" s="238" t="s">
        <v>392</v>
      </c>
      <c r="AE87" s="238"/>
      <c r="AF87" s="238"/>
      <c r="AG87" s="89"/>
      <c r="AH87" s="238" t="s">
        <v>125</v>
      </c>
      <c r="AI87" s="238"/>
      <c r="AJ87" s="238"/>
      <c r="AK87" s="238"/>
      <c r="AM87" s="90">
        <f t="shared" ref="AM87:AS87" si="7">SUM(AM88:AM93)</f>
        <v>6</v>
      </c>
      <c r="AN87" s="90">
        <f t="shared" si="7"/>
        <v>6</v>
      </c>
      <c r="AO87" s="90">
        <f>SUM(AO88:AO91)</f>
        <v>4</v>
      </c>
      <c r="AP87" s="90">
        <f t="shared" si="7"/>
        <v>6</v>
      </c>
      <c r="AQ87" s="90">
        <f t="shared" si="7"/>
        <v>0</v>
      </c>
      <c r="AR87" s="90">
        <f t="shared" si="7"/>
        <v>0</v>
      </c>
      <c r="AS87" s="90">
        <f t="shared" si="7"/>
        <v>6</v>
      </c>
      <c r="AT87" s="90">
        <f>SUM(AT88:AT93)</f>
        <v>6</v>
      </c>
    </row>
    <row r="88" spans="2:48" ht="14.55" customHeight="1" x14ac:dyDescent="0.3">
      <c r="C88" s="206">
        <f>Tables!$F$16</f>
        <v>6.02</v>
      </c>
      <c r="D88" s="206"/>
      <c r="G88" s="2" t="str">
        <f>Tables!$D$16</f>
        <v>(2-yr)</v>
      </c>
      <c r="H88" s="13"/>
      <c r="I88" s="204"/>
      <c r="J88" s="204"/>
      <c r="K88" s="204"/>
      <c r="L88" s="8"/>
      <c r="M88" s="204"/>
      <c r="N88" s="204"/>
      <c r="O88" s="204"/>
      <c r="Q88" s="204"/>
      <c r="R88" s="204"/>
      <c r="S88" s="204"/>
      <c r="U88" s="204"/>
      <c r="V88" s="204"/>
      <c r="W88" s="204"/>
      <c r="Y88" s="204"/>
      <c r="Z88" s="204"/>
      <c r="AA88" s="204"/>
      <c r="AB88" s="204"/>
      <c r="AD88" s="204"/>
      <c r="AE88" s="204"/>
      <c r="AF88" s="204"/>
      <c r="AH88" s="204"/>
      <c r="AI88" s="204"/>
      <c r="AJ88" s="204"/>
      <c r="AK88" s="204"/>
      <c r="AM88" s="90">
        <f t="shared" ref="AM88:AM93" si="8">IF(ISBLANK(I88),1,IF(I88=I80,0,1))</f>
        <v>1</v>
      </c>
      <c r="AN88" s="90">
        <f t="shared" ref="AN88:AN93" si="9">IF(ISBLANK(M88),1,IF(M88=M80,0,1))</f>
        <v>1</v>
      </c>
      <c r="AO88" s="90">
        <f>IF(ISBLANK(U88),1,IF(U88&gt;Y$39,1,0))</f>
        <v>1</v>
      </c>
      <c r="AP88" s="90">
        <f t="shared" ref="AP88:AP93" si="10">IF(ISBLANK(AD88),1,IF(AD88&gt;$AP$78,1,0))</f>
        <v>1</v>
      </c>
      <c r="AQ88" s="90">
        <f>IF(OR($AR$81=0,$AR$83=2),0,IF($AH88&gt;$AR$81,1,0))</f>
        <v>0</v>
      </c>
      <c r="AR88" s="90">
        <f>IF(OR($AR$82=0,$AR$83=2),0,IF($AH88&gt;$AR$82,1,0))</f>
        <v>0</v>
      </c>
      <c r="AS88" s="90">
        <f t="shared" ref="AS88:AS93" si="11">IF(ISBLANK(AH88),1,IF(AH88&gt;I88,1,0))</f>
        <v>1</v>
      </c>
      <c r="AT88" s="90">
        <f t="shared" ref="AT88:AT93" si="12">IF(ISBLANK(Y88),1,IF(Y88&gt;$AP$78,1,0))</f>
        <v>1</v>
      </c>
    </row>
    <row r="89" spans="2:48" ht="14.55" customHeight="1" x14ac:dyDescent="0.3">
      <c r="C89" s="206">
        <f>Tables!$F$17</f>
        <v>7.68</v>
      </c>
      <c r="D89" s="206"/>
      <c r="G89" s="2" t="str">
        <f>Tables!$D$17</f>
        <v>(5-yr)</v>
      </c>
      <c r="H89" s="13"/>
      <c r="I89" s="179"/>
      <c r="J89" s="179"/>
      <c r="K89" s="179"/>
      <c r="L89" s="8"/>
      <c r="M89" s="179"/>
      <c r="N89" s="179"/>
      <c r="O89" s="179"/>
      <c r="Q89" s="179"/>
      <c r="R89" s="179"/>
      <c r="S89" s="179"/>
      <c r="U89" s="179"/>
      <c r="V89" s="179"/>
      <c r="W89" s="179"/>
      <c r="Y89" s="204"/>
      <c r="Z89" s="204"/>
      <c r="AA89" s="204"/>
      <c r="AB89" s="204"/>
      <c r="AD89" s="179"/>
      <c r="AE89" s="179"/>
      <c r="AF89" s="179"/>
      <c r="AH89" s="179"/>
      <c r="AI89" s="179"/>
      <c r="AJ89" s="179"/>
      <c r="AK89" s="179"/>
      <c r="AM89" s="90">
        <f t="shared" si="8"/>
        <v>1</v>
      </c>
      <c r="AN89" s="90">
        <f t="shared" si="9"/>
        <v>1</v>
      </c>
      <c r="AO89" s="90">
        <f>IF(ISBLANK(U89),1,IF(U89&gt;Y$39,1,0))</f>
        <v>1</v>
      </c>
      <c r="AP89" s="90">
        <f t="shared" si="10"/>
        <v>1</v>
      </c>
      <c r="AQ89" s="90">
        <f t="shared" ref="AQ89:AQ93" si="13">IF(OR($AR$81=0,$AR$83=2),0,IF($AH89&gt;$AR$81,1,0))</f>
        <v>0</v>
      </c>
      <c r="AR89" s="90">
        <f t="shared" ref="AR89:AR93" si="14">IF(OR($AR$82=0,$AR$83=2),0,IF($AH89&gt;$AR$82,1,0))</f>
        <v>0</v>
      </c>
      <c r="AS89" s="90">
        <f t="shared" si="11"/>
        <v>1</v>
      </c>
      <c r="AT89" s="90">
        <f t="shared" si="12"/>
        <v>1</v>
      </c>
    </row>
    <row r="90" spans="2:48" ht="14.55" customHeight="1" x14ac:dyDescent="0.3">
      <c r="C90" s="206">
        <f>Tables!$F$18</f>
        <v>9.26</v>
      </c>
      <c r="D90" s="206"/>
      <c r="G90" s="2" t="str">
        <f>Tables!$D$18</f>
        <v>(10-yr)</v>
      </c>
      <c r="H90" s="13"/>
      <c r="I90" s="179"/>
      <c r="J90" s="179"/>
      <c r="K90" s="179"/>
      <c r="L90" s="8"/>
      <c r="M90" s="179"/>
      <c r="N90" s="179"/>
      <c r="O90" s="179"/>
      <c r="Q90" s="179"/>
      <c r="R90" s="179"/>
      <c r="S90" s="179"/>
      <c r="U90" s="179"/>
      <c r="V90" s="179"/>
      <c r="W90" s="179"/>
      <c r="Y90" s="204"/>
      <c r="Z90" s="204"/>
      <c r="AA90" s="204"/>
      <c r="AB90" s="204"/>
      <c r="AD90" s="179"/>
      <c r="AE90" s="179"/>
      <c r="AF90" s="179"/>
      <c r="AH90" s="179"/>
      <c r="AI90" s="179"/>
      <c r="AJ90" s="179"/>
      <c r="AK90" s="179"/>
      <c r="AM90" s="90">
        <f t="shared" si="8"/>
        <v>1</v>
      </c>
      <c r="AN90" s="90">
        <f t="shared" si="9"/>
        <v>1</v>
      </c>
      <c r="AO90" s="90">
        <f>IF(ISBLANK(U90),1,IF(U90&gt;Y$39,1,0))</f>
        <v>1</v>
      </c>
      <c r="AP90" s="90">
        <f t="shared" si="10"/>
        <v>1</v>
      </c>
      <c r="AQ90" s="90">
        <f t="shared" si="13"/>
        <v>0</v>
      </c>
      <c r="AR90" s="90">
        <f t="shared" si="14"/>
        <v>0</v>
      </c>
      <c r="AS90" s="90">
        <f t="shared" si="11"/>
        <v>1</v>
      </c>
      <c r="AT90" s="90">
        <f t="shared" si="12"/>
        <v>1</v>
      </c>
    </row>
    <row r="91" spans="2:48" ht="14.55" customHeight="1" x14ac:dyDescent="0.3">
      <c r="C91" s="206">
        <f>Tables!$F$19</f>
        <v>11.7</v>
      </c>
      <c r="D91" s="206"/>
      <c r="G91" s="2" t="str">
        <f>Tables!$D$19</f>
        <v>(25-yr)</v>
      </c>
      <c r="H91" s="13"/>
      <c r="I91" s="179"/>
      <c r="J91" s="179"/>
      <c r="K91" s="179"/>
      <c r="L91" s="8"/>
      <c r="M91" s="179"/>
      <c r="N91" s="179"/>
      <c r="O91" s="179"/>
      <c r="Q91" s="179"/>
      <c r="R91" s="179"/>
      <c r="S91" s="179"/>
      <c r="U91" s="179"/>
      <c r="V91" s="179"/>
      <c r="W91" s="179"/>
      <c r="Y91" s="204"/>
      <c r="Z91" s="204"/>
      <c r="AA91" s="204"/>
      <c r="AB91" s="204"/>
      <c r="AD91" s="179"/>
      <c r="AE91" s="179"/>
      <c r="AF91" s="179"/>
      <c r="AH91" s="179"/>
      <c r="AI91" s="179"/>
      <c r="AJ91" s="179"/>
      <c r="AK91" s="179"/>
      <c r="AM91" s="90">
        <f t="shared" si="8"/>
        <v>1</v>
      </c>
      <c r="AN91" s="90">
        <f t="shared" si="9"/>
        <v>1</v>
      </c>
      <c r="AO91" s="90">
        <f>IF(ISBLANK(U91),1,IF(U91&gt;Y$39,1,0))</f>
        <v>1</v>
      </c>
      <c r="AP91" s="90">
        <f t="shared" si="10"/>
        <v>1</v>
      </c>
      <c r="AQ91" s="90">
        <f t="shared" si="13"/>
        <v>0</v>
      </c>
      <c r="AR91" s="90">
        <f t="shared" si="14"/>
        <v>0</v>
      </c>
      <c r="AS91" s="90">
        <f t="shared" si="11"/>
        <v>1</v>
      </c>
      <c r="AT91" s="90">
        <f t="shared" si="12"/>
        <v>1</v>
      </c>
    </row>
    <row r="92" spans="2:48" ht="14.55" customHeight="1" x14ac:dyDescent="0.3">
      <c r="C92" s="206">
        <f>Tables!$F$20</f>
        <v>13.9</v>
      </c>
      <c r="D92" s="206"/>
      <c r="G92" s="2" t="str">
        <f>Tables!$D$20</f>
        <v>(50-yr)</v>
      </c>
      <c r="H92" s="13"/>
      <c r="I92" s="179"/>
      <c r="J92" s="179"/>
      <c r="K92" s="179"/>
      <c r="L92" s="8"/>
      <c r="M92" s="179"/>
      <c r="N92" s="179"/>
      <c r="O92" s="179"/>
      <c r="Q92" s="179"/>
      <c r="R92" s="179"/>
      <c r="S92" s="179"/>
      <c r="U92" s="179"/>
      <c r="V92" s="179"/>
      <c r="W92" s="179"/>
      <c r="Y92" s="204"/>
      <c r="Z92" s="204"/>
      <c r="AA92" s="204"/>
      <c r="AB92" s="204"/>
      <c r="AD92" s="179"/>
      <c r="AE92" s="179"/>
      <c r="AF92" s="179"/>
      <c r="AH92" s="179"/>
      <c r="AI92" s="179"/>
      <c r="AJ92" s="179"/>
      <c r="AK92" s="179"/>
      <c r="AM92" s="90">
        <f t="shared" si="8"/>
        <v>1</v>
      </c>
      <c r="AN92" s="90">
        <f t="shared" si="9"/>
        <v>1</v>
      </c>
      <c r="AO92" s="92">
        <f>IF(OR(ISBLANK(U92),ISBLANK($AH$39)),0,$AH$39-U92)</f>
        <v>0</v>
      </c>
      <c r="AP92" s="90">
        <f t="shared" si="10"/>
        <v>1</v>
      </c>
      <c r="AQ92" s="90">
        <f t="shared" si="13"/>
        <v>0</v>
      </c>
      <c r="AR92" s="90">
        <f t="shared" si="14"/>
        <v>0</v>
      </c>
      <c r="AS92" s="90">
        <f t="shared" si="11"/>
        <v>1</v>
      </c>
      <c r="AT92" s="90">
        <f t="shared" si="12"/>
        <v>1</v>
      </c>
    </row>
    <row r="93" spans="2:48" ht="14.55" customHeight="1" x14ac:dyDescent="0.3">
      <c r="C93" s="206">
        <f>Tables!$F$21</f>
        <v>16.3</v>
      </c>
      <c r="D93" s="206"/>
      <c r="G93" s="2" t="str">
        <f>Tables!$D$21</f>
        <v>(100-yr)</v>
      </c>
      <c r="H93" s="13"/>
      <c r="I93" s="179"/>
      <c r="J93" s="179"/>
      <c r="K93" s="179"/>
      <c r="L93" s="8"/>
      <c r="M93" s="179"/>
      <c r="N93" s="179"/>
      <c r="O93" s="179"/>
      <c r="Q93" s="179"/>
      <c r="R93" s="179"/>
      <c r="S93" s="179"/>
      <c r="U93" s="179"/>
      <c r="V93" s="179"/>
      <c r="W93" s="179"/>
      <c r="Y93" s="204"/>
      <c r="Z93" s="204"/>
      <c r="AA93" s="204"/>
      <c r="AB93" s="204"/>
      <c r="AD93" s="179"/>
      <c r="AE93" s="179"/>
      <c r="AF93" s="179"/>
      <c r="AH93" s="179"/>
      <c r="AI93" s="179"/>
      <c r="AJ93" s="179"/>
      <c r="AK93" s="179"/>
      <c r="AM93" s="90">
        <f t="shared" si="8"/>
        <v>1</v>
      </c>
      <c r="AN93" s="90">
        <f t="shared" si="9"/>
        <v>1</v>
      </c>
      <c r="AO93" s="92">
        <f>IF(OR(ISBLANK(U93),ISBLANK($AH$39)),0,$AH$39-U93)</f>
        <v>0</v>
      </c>
      <c r="AP93" s="90">
        <f t="shared" si="10"/>
        <v>1</v>
      </c>
      <c r="AQ93" s="90">
        <f t="shared" si="13"/>
        <v>0</v>
      </c>
      <c r="AR93" s="90">
        <f t="shared" si="14"/>
        <v>0</v>
      </c>
      <c r="AS93" s="90">
        <f t="shared" si="11"/>
        <v>1</v>
      </c>
      <c r="AT93" s="90">
        <f t="shared" si="12"/>
        <v>1</v>
      </c>
    </row>
    <row r="94" spans="2:48" ht="15" customHeight="1" x14ac:dyDescent="0.3">
      <c r="AM94" s="75" t="s">
        <v>147</v>
      </c>
      <c r="AN94" s="75" t="s">
        <v>148</v>
      </c>
      <c r="AO94" s="75" t="s">
        <v>69</v>
      </c>
      <c r="AP94" s="75" t="s">
        <v>194</v>
      </c>
      <c r="AQ94" s="75" t="s">
        <v>305</v>
      </c>
      <c r="AR94" s="75" t="s">
        <v>357</v>
      </c>
      <c r="AS94" s="75" t="s">
        <v>70</v>
      </c>
      <c r="AT94" s="75" t="s">
        <v>194</v>
      </c>
      <c r="AV94" s="4"/>
    </row>
    <row r="95" spans="2:48" ht="15" customHeight="1" x14ac:dyDescent="0.3">
      <c r="AM95" s="75"/>
      <c r="AN95" s="75"/>
      <c r="AP95" s="75" t="s">
        <v>373</v>
      </c>
      <c r="AT95" s="75" t="s">
        <v>372</v>
      </c>
      <c r="AV95" s="4"/>
    </row>
    <row r="96" spans="2:48" ht="15" customHeight="1" x14ac:dyDescent="0.3">
      <c r="AV96" s="4"/>
    </row>
    <row r="97" spans="2:48" ht="15" customHeight="1" x14ac:dyDescent="0.3">
      <c r="B97" s="177">
        <f>Tables!$F$13</f>
        <v>45931</v>
      </c>
      <c r="C97" s="177"/>
      <c r="D97" s="177"/>
      <c r="E97" s="177"/>
      <c r="F97" s="177"/>
      <c r="G97" s="71"/>
      <c r="H97" s="71"/>
      <c r="I97" s="71"/>
      <c r="R97" s="197" t="s">
        <v>256</v>
      </c>
      <c r="S97" s="197"/>
      <c r="T97" s="197"/>
      <c r="U97" s="197"/>
      <c r="AV97" s="4"/>
    </row>
    <row r="98" spans="2:48" ht="15" customHeight="1" x14ac:dyDescent="0.3">
      <c r="C98" s="2" t="s">
        <v>1</v>
      </c>
      <c r="D98" s="180">
        <f>IF(ISBLANK($E$7),"",$E$7)</f>
        <v>0</v>
      </c>
      <c r="E98" s="180"/>
      <c r="F98" s="180"/>
      <c r="G98" s="180"/>
      <c r="H98" s="180"/>
      <c r="I98" s="180"/>
      <c r="J98" s="180"/>
      <c r="K98" s="180"/>
      <c r="L98" s="180"/>
      <c r="M98" s="180"/>
      <c r="N98" s="180"/>
      <c r="O98" s="180"/>
      <c r="P98" s="180"/>
      <c r="Q98" s="180"/>
      <c r="R98" s="180"/>
      <c r="S98" s="180"/>
      <c r="T98" s="180"/>
      <c r="U98" s="180"/>
      <c r="V98" s="180"/>
      <c r="W98" s="180"/>
      <c r="X98" s="180"/>
      <c r="Y98" s="180"/>
      <c r="Z98" s="180"/>
      <c r="AF98" s="2" t="s">
        <v>18</v>
      </c>
      <c r="AG98" s="181">
        <f>IF(ISBLANK($AF$7),0,$AF$7)</f>
        <v>0</v>
      </c>
      <c r="AH98" s="181"/>
      <c r="AI98" s="181"/>
      <c r="AJ98" s="181"/>
      <c r="AK98" s="181"/>
    </row>
    <row r="99" spans="2:48" ht="15" customHeight="1" x14ac:dyDescent="0.3">
      <c r="F99" s="3"/>
      <c r="G99" s="3"/>
      <c r="H99" s="3"/>
      <c r="I99" s="3"/>
      <c r="J99" s="3"/>
      <c r="K99" s="2"/>
      <c r="L99" s="2"/>
      <c r="M99" s="2"/>
      <c r="N99" s="2"/>
      <c r="O99" s="3"/>
      <c r="P99" s="8"/>
      <c r="Q99" s="8"/>
      <c r="R99" s="8"/>
      <c r="S99" s="8"/>
      <c r="T99" s="8"/>
      <c r="U99" s="8"/>
      <c r="V99" s="8"/>
      <c r="W99" s="8"/>
      <c r="X99" s="8"/>
      <c r="Y99" s="8"/>
      <c r="Z99" s="8"/>
      <c r="AA99" s="8"/>
      <c r="AB99" s="8"/>
      <c r="AC99" s="8"/>
      <c r="AD99" s="8"/>
      <c r="AE99" s="8"/>
      <c r="AF99" s="2" t="s">
        <v>31</v>
      </c>
      <c r="AG99" s="178">
        <f>IF(ISBLANK($AF$8),"",$AF$8)</f>
        <v>0</v>
      </c>
      <c r="AH99" s="178"/>
      <c r="AI99" s="178"/>
      <c r="AJ99" s="178"/>
      <c r="AK99" s="178"/>
    </row>
    <row r="100" spans="2:48" ht="15" customHeight="1" x14ac:dyDescent="0.3">
      <c r="B100" s="9" t="s">
        <v>19</v>
      </c>
      <c r="C100" s="9"/>
      <c r="D100" s="9"/>
      <c r="E100" s="9"/>
    </row>
    <row r="101" spans="2:48" ht="15" customHeight="1" x14ac:dyDescent="0.3">
      <c r="B101" s="182"/>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4"/>
    </row>
    <row r="102" spans="2:48" ht="15" customHeight="1" x14ac:dyDescent="0.3">
      <c r="B102" s="185"/>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7"/>
    </row>
    <row r="103" spans="2:48" ht="15" customHeight="1" x14ac:dyDescent="0.3">
      <c r="B103" s="185"/>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7"/>
    </row>
    <row r="104" spans="2:48" ht="15" customHeight="1" x14ac:dyDescent="0.3">
      <c r="B104" s="185"/>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7"/>
    </row>
    <row r="105" spans="2:48" ht="15" customHeight="1" x14ac:dyDescent="0.3">
      <c r="B105" s="185"/>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7"/>
    </row>
    <row r="106" spans="2:48" ht="15" customHeight="1" x14ac:dyDescent="0.3">
      <c r="B106" s="185"/>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7"/>
    </row>
    <row r="107" spans="2:48" ht="15" customHeight="1" x14ac:dyDescent="0.3">
      <c r="B107" s="185"/>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7"/>
    </row>
    <row r="108" spans="2:48" ht="15" customHeight="1" x14ac:dyDescent="0.3">
      <c r="B108" s="185"/>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7"/>
    </row>
    <row r="109" spans="2:48" ht="15" customHeight="1" x14ac:dyDescent="0.3">
      <c r="B109" s="185"/>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7"/>
    </row>
    <row r="110" spans="2:48" ht="15" customHeight="1" x14ac:dyDescent="0.3">
      <c r="B110" s="188"/>
      <c r="C110" s="189"/>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90"/>
    </row>
    <row r="111" spans="2:48" ht="15" customHeight="1" x14ac:dyDescent="0.3">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2:48" ht="15" customHeight="1" x14ac:dyDescent="0.3">
      <c r="B112" s="1" t="s">
        <v>129</v>
      </c>
      <c r="C112" s="1"/>
      <c r="D112" s="1"/>
      <c r="E112" s="1"/>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2:42" ht="15" customHeight="1" x14ac:dyDescent="0.3">
      <c r="B113" s="1"/>
      <c r="C113" s="1"/>
      <c r="D113" s="1"/>
      <c r="E113" s="2" t="s">
        <v>163</v>
      </c>
      <c r="F113" s="193"/>
      <c r="G113" s="193"/>
      <c r="H113" s="193"/>
      <c r="I113" s="193"/>
      <c r="J113" s="193"/>
      <c r="K113" s="193"/>
      <c r="L113" s="193"/>
      <c r="M113" s="193"/>
      <c r="N113" s="193"/>
      <c r="O113" s="193"/>
      <c r="P113" s="193"/>
      <c r="Q113" s="193"/>
      <c r="R113" s="193"/>
      <c r="S113" s="193"/>
      <c r="T113" s="193"/>
      <c r="U113" s="193"/>
      <c r="V113" s="193"/>
      <c r="W113" s="6"/>
      <c r="X113" s="6"/>
      <c r="Y113" s="6"/>
      <c r="Z113" s="6"/>
      <c r="AA113" s="6"/>
      <c r="AB113" s="6"/>
      <c r="AC113" s="6"/>
      <c r="AD113" s="6"/>
      <c r="AE113" s="6"/>
      <c r="AF113" s="6"/>
      <c r="AG113" s="6"/>
      <c r="AH113" s="6"/>
      <c r="AI113" s="6"/>
      <c r="AJ113" s="6"/>
      <c r="AK113" s="6"/>
      <c r="AL113" s="6"/>
    </row>
    <row r="114" spans="2:42" ht="15" customHeight="1" x14ac:dyDescent="0.3">
      <c r="C114" s="2"/>
      <c r="D114" s="2"/>
      <c r="E114" s="2" t="s">
        <v>132</v>
      </c>
      <c r="F114" s="194"/>
      <c r="G114" s="194"/>
      <c r="H114" s="194"/>
      <c r="I114" s="194"/>
      <c r="J114" s="194"/>
      <c r="K114" s="194"/>
      <c r="L114" s="194"/>
      <c r="M114" s="194"/>
      <c r="N114" s="194"/>
      <c r="O114" s="194"/>
      <c r="P114" s="194"/>
      <c r="Q114" s="194"/>
      <c r="R114" s="194"/>
      <c r="S114" s="194"/>
      <c r="T114" s="194"/>
      <c r="U114" s="194"/>
      <c r="V114" s="194"/>
      <c r="W114" s="6"/>
      <c r="X114" s="6"/>
      <c r="Y114" s="6"/>
      <c r="Z114" s="6"/>
      <c r="AA114" s="6"/>
      <c r="AB114" s="6"/>
      <c r="AC114" s="6"/>
      <c r="AD114" s="6"/>
      <c r="AE114" s="6"/>
      <c r="AF114" s="6"/>
      <c r="AG114" s="6"/>
      <c r="AH114" s="6"/>
      <c r="AI114" s="6"/>
      <c r="AJ114" s="6"/>
      <c r="AK114" s="6"/>
      <c r="AL114" s="6"/>
    </row>
    <row r="115" spans="2:42" ht="15" customHeight="1" x14ac:dyDescent="0.3">
      <c r="C115" s="2"/>
      <c r="D115" s="2"/>
      <c r="E115" s="2" t="s">
        <v>206</v>
      </c>
      <c r="F115" s="194"/>
      <c r="G115" s="194"/>
      <c r="H115" s="194"/>
      <c r="I115" s="194"/>
      <c r="J115" s="194"/>
      <c r="K115" s="194"/>
      <c r="L115" s="194"/>
      <c r="M115" s="194"/>
      <c r="N115" s="194"/>
      <c r="O115" s="194"/>
      <c r="P115" s="194"/>
      <c r="Q115" s="194"/>
      <c r="R115" s="194"/>
      <c r="S115" s="194"/>
      <c r="T115" s="194"/>
      <c r="U115" s="194"/>
      <c r="V115" s="194"/>
      <c r="Y115" s="2" t="s">
        <v>135</v>
      </c>
      <c r="Z115" s="214"/>
      <c r="AA115" s="214"/>
      <c r="AB115" s="214"/>
      <c r="AC115" s="214"/>
      <c r="AD115" s="2"/>
      <c r="AG115" s="2" t="s">
        <v>136</v>
      </c>
      <c r="AH115" s="259"/>
      <c r="AI115" s="259"/>
      <c r="AJ115" s="259"/>
      <c r="AK115" s="259"/>
      <c r="AL115" s="2"/>
    </row>
    <row r="116" spans="2:42" ht="15" customHeight="1" x14ac:dyDescent="0.3">
      <c r="C116" s="2"/>
      <c r="D116" s="2"/>
      <c r="E116" s="2" t="s">
        <v>258</v>
      </c>
      <c r="F116" s="194"/>
      <c r="G116" s="194"/>
      <c r="H116" s="194"/>
      <c r="I116" s="194"/>
      <c r="J116" s="194"/>
      <c r="K116" s="194"/>
      <c r="L116" s="194"/>
      <c r="M116" s="194"/>
      <c r="N116" s="194"/>
      <c r="O116" s="194"/>
      <c r="P116" s="194"/>
      <c r="Q116" s="194"/>
      <c r="R116" s="194"/>
      <c r="S116" s="194"/>
      <c r="T116" s="194"/>
      <c r="U116" s="194"/>
      <c r="V116" s="194"/>
      <c r="AK116" s="99"/>
      <c r="AL116" s="2"/>
    </row>
    <row r="117" spans="2:42" ht="15" customHeight="1" x14ac:dyDescent="0.3">
      <c r="C117" s="2"/>
      <c r="D117" s="2"/>
      <c r="E117" s="2" t="s">
        <v>133</v>
      </c>
      <c r="F117" s="243"/>
      <c r="G117" s="243"/>
      <c r="H117" s="243"/>
      <c r="I117" s="243"/>
      <c r="J117" s="243"/>
      <c r="K117" s="243"/>
      <c r="L117" s="243"/>
      <c r="M117" s="243"/>
      <c r="N117" s="243"/>
      <c r="O117" s="243"/>
      <c r="P117" s="243"/>
      <c r="Q117" s="243"/>
      <c r="R117" s="243"/>
      <c r="S117" s="243"/>
      <c r="T117" s="243"/>
      <c r="U117" s="243"/>
      <c r="V117" s="243"/>
      <c r="Y117" s="41"/>
      <c r="Z117" s="41"/>
      <c r="AA117" s="41"/>
      <c r="AB117" s="41"/>
      <c r="AC117" s="41"/>
      <c r="AD117" s="2" t="s">
        <v>137</v>
      </c>
      <c r="AE117" s="258"/>
      <c r="AF117" s="258"/>
      <c r="AG117" s="258"/>
      <c r="AH117" s="258"/>
      <c r="AI117" s="258"/>
      <c r="AJ117" s="2"/>
      <c r="AK117" s="6"/>
    </row>
    <row r="118" spans="2:42" ht="4.95" customHeight="1" x14ac:dyDescent="0.3">
      <c r="B118" s="2"/>
      <c r="C118" s="2"/>
      <c r="D118" s="2"/>
      <c r="E118" s="2"/>
      <c r="F118" s="49"/>
      <c r="G118" s="49"/>
      <c r="H118" s="49"/>
      <c r="I118" s="49"/>
      <c r="J118" s="49"/>
      <c r="K118" s="49"/>
      <c r="L118" s="49"/>
      <c r="M118" s="49"/>
      <c r="N118" s="49"/>
      <c r="O118" s="49"/>
      <c r="P118" s="49"/>
      <c r="Q118" s="49"/>
      <c r="R118" s="49"/>
      <c r="S118" s="49"/>
      <c r="T118" s="49"/>
      <c r="U118" s="49"/>
      <c r="V118" s="49"/>
      <c r="Y118" s="6"/>
      <c r="Z118" s="6"/>
      <c r="AA118" s="6"/>
      <c r="AB118" s="6"/>
      <c r="AC118" s="6"/>
      <c r="AD118" s="6"/>
      <c r="AI118" s="6"/>
      <c r="AJ118" s="2"/>
      <c r="AK118" s="6"/>
      <c r="AL118" s="6"/>
    </row>
    <row r="119" spans="2:42" ht="15" customHeight="1" x14ac:dyDescent="0.3">
      <c r="B119" s="1" t="s">
        <v>195</v>
      </c>
      <c r="C119" s="1"/>
      <c r="D119" s="1"/>
      <c r="E119" s="1"/>
      <c r="F119" s="6"/>
      <c r="G119" s="6"/>
      <c r="H119" s="6"/>
      <c r="I119" s="6"/>
      <c r="J119" s="6"/>
      <c r="K119" s="6"/>
      <c r="L119" s="6"/>
      <c r="M119" s="6"/>
      <c r="N119" s="6"/>
      <c r="O119" s="6"/>
      <c r="P119" s="6"/>
      <c r="Q119" s="6"/>
      <c r="R119" s="6"/>
      <c r="S119" s="6"/>
      <c r="T119" s="6"/>
      <c r="U119" s="6"/>
      <c r="V119" s="6"/>
      <c r="Y119" s="46"/>
      <c r="Z119" s="4" t="s">
        <v>130</v>
      </c>
      <c r="AA119" s="6"/>
      <c r="AB119" s="6"/>
      <c r="AC119" s="6"/>
      <c r="AI119" s="6"/>
      <c r="AM119" s="90">
        <f>IF(AND(ISBLANK(F120),ISBLANK(F121),ISBLANK(F122),ISBLANK(Z122),ISBLANK(AH122)),1,2)</f>
        <v>1</v>
      </c>
      <c r="AN119" s="90">
        <f>IF(ISBLANK(Y119),1,2)</f>
        <v>1</v>
      </c>
    </row>
    <row r="120" spans="2:42" ht="15" customHeight="1" x14ac:dyDescent="0.3">
      <c r="C120" s="2"/>
      <c r="D120" s="2"/>
      <c r="E120" s="2" t="s">
        <v>134</v>
      </c>
      <c r="F120" s="193"/>
      <c r="G120" s="193"/>
      <c r="H120" s="193"/>
      <c r="I120" s="193"/>
      <c r="J120" s="193"/>
      <c r="K120" s="193"/>
      <c r="L120" s="193"/>
      <c r="M120" s="193"/>
      <c r="N120" s="193"/>
      <c r="O120" s="193"/>
      <c r="P120" s="193"/>
      <c r="Q120" s="193"/>
      <c r="R120" s="193"/>
      <c r="S120" s="193"/>
      <c r="T120" s="193"/>
      <c r="U120" s="193"/>
      <c r="V120" s="193"/>
    </row>
    <row r="121" spans="2:42" ht="15" customHeight="1" x14ac:dyDescent="0.3">
      <c r="C121" s="2"/>
      <c r="D121" s="2"/>
      <c r="E121" s="2" t="s">
        <v>132</v>
      </c>
      <c r="F121" s="194"/>
      <c r="G121" s="194"/>
      <c r="H121" s="194"/>
      <c r="I121" s="194"/>
      <c r="J121" s="194"/>
      <c r="K121" s="194"/>
      <c r="L121" s="194"/>
      <c r="M121" s="194"/>
      <c r="N121" s="194"/>
      <c r="O121" s="194"/>
      <c r="P121" s="194"/>
      <c r="Q121" s="194"/>
      <c r="R121" s="194"/>
      <c r="S121" s="194"/>
      <c r="T121" s="194"/>
      <c r="U121" s="194"/>
      <c r="V121" s="194"/>
      <c r="AK121" s="6"/>
      <c r="AL121" s="6"/>
    </row>
    <row r="122" spans="2:42" ht="15" customHeight="1" x14ac:dyDescent="0.3">
      <c r="C122" s="2"/>
      <c r="D122" s="2"/>
      <c r="E122" s="2" t="s">
        <v>206</v>
      </c>
      <c r="F122" s="194"/>
      <c r="G122" s="194"/>
      <c r="H122" s="194"/>
      <c r="I122" s="194"/>
      <c r="J122" s="194"/>
      <c r="K122" s="194"/>
      <c r="L122" s="194"/>
      <c r="M122" s="194"/>
      <c r="N122" s="194"/>
      <c r="O122" s="194"/>
      <c r="P122" s="194"/>
      <c r="Q122" s="194"/>
      <c r="R122" s="194"/>
      <c r="S122" s="194"/>
      <c r="T122" s="194"/>
      <c r="U122" s="194"/>
      <c r="V122" s="194"/>
      <c r="Y122" s="2" t="s">
        <v>135</v>
      </c>
      <c r="Z122" s="214"/>
      <c r="AA122" s="214"/>
      <c r="AB122" s="214"/>
      <c r="AC122" s="214"/>
      <c r="AD122" s="2"/>
      <c r="AG122" s="2" t="s">
        <v>136</v>
      </c>
      <c r="AH122" s="259"/>
      <c r="AI122" s="259"/>
      <c r="AJ122" s="259"/>
      <c r="AK122" s="259"/>
      <c r="AL122" s="2"/>
    </row>
    <row r="123" spans="2:42" ht="15" customHeight="1" x14ac:dyDescent="0.3">
      <c r="C123" s="2"/>
      <c r="D123" s="2"/>
      <c r="E123" s="2" t="s">
        <v>258</v>
      </c>
      <c r="F123" s="193"/>
      <c r="G123" s="193"/>
      <c r="H123" s="193"/>
      <c r="I123" s="193"/>
      <c r="J123" s="193"/>
      <c r="K123" s="193"/>
      <c r="L123" s="193"/>
      <c r="M123" s="193"/>
      <c r="N123" s="193"/>
      <c r="O123" s="193"/>
      <c r="P123" s="193"/>
      <c r="Q123" s="193"/>
      <c r="R123" s="193"/>
      <c r="S123" s="193"/>
      <c r="T123" s="193"/>
      <c r="U123" s="193"/>
      <c r="V123" s="193"/>
      <c r="W123" s="6"/>
      <c r="X123" s="6"/>
      <c r="Y123" s="6"/>
      <c r="Z123" s="6"/>
      <c r="AA123" s="6"/>
      <c r="AB123" s="6"/>
      <c r="AC123" s="6"/>
      <c r="AD123" s="2" t="s">
        <v>138</v>
      </c>
      <c r="AE123" s="193"/>
      <c r="AF123" s="193"/>
      <c r="AG123" s="193"/>
      <c r="AH123" s="193"/>
      <c r="AI123" s="193"/>
      <c r="AJ123" s="193"/>
      <c r="AK123" s="193"/>
    </row>
    <row r="124" spans="2:42" ht="15" customHeight="1" x14ac:dyDescent="0.3">
      <c r="C124" s="2"/>
      <c r="D124" s="2"/>
      <c r="E124" s="2" t="s">
        <v>133</v>
      </c>
      <c r="F124" s="243"/>
      <c r="G124" s="243"/>
      <c r="H124" s="243"/>
      <c r="I124" s="243"/>
      <c r="J124" s="243"/>
      <c r="K124" s="243"/>
      <c r="L124" s="243"/>
      <c r="M124" s="243"/>
      <c r="N124" s="243"/>
      <c r="O124" s="243"/>
      <c r="P124" s="243"/>
      <c r="Q124" s="243"/>
      <c r="R124" s="243"/>
      <c r="S124" s="243"/>
      <c r="T124" s="243"/>
      <c r="U124" s="243"/>
      <c r="V124" s="243"/>
      <c r="AD124" s="2" t="s">
        <v>137</v>
      </c>
      <c r="AE124" s="257"/>
      <c r="AF124" s="257"/>
      <c r="AG124" s="257"/>
      <c r="AH124" s="257"/>
      <c r="AI124" s="257"/>
    </row>
    <row r="125" spans="2:42" ht="15" customHeight="1" x14ac:dyDescent="0.3"/>
    <row r="126" spans="2:42" ht="15" customHeight="1" x14ac:dyDescent="0.3">
      <c r="B126" s="1" t="s">
        <v>93</v>
      </c>
      <c r="F126" s="3"/>
      <c r="G126" s="3"/>
      <c r="H126" s="3"/>
      <c r="I126" s="3"/>
      <c r="J126" s="3"/>
      <c r="K126" s="2"/>
      <c r="L126" s="2"/>
      <c r="M126" s="2"/>
      <c r="N126" s="2"/>
      <c r="O126" s="3"/>
      <c r="P126" s="8"/>
      <c r="Q126" s="8"/>
      <c r="R126" s="8"/>
      <c r="S126" s="8"/>
      <c r="T126" s="8"/>
      <c r="U126" s="8"/>
      <c r="V126" s="8"/>
      <c r="W126" s="8"/>
      <c r="X126" s="8"/>
      <c r="Y126" s="8"/>
      <c r="Z126" s="8"/>
      <c r="AA126" s="8"/>
      <c r="AB126" s="8"/>
      <c r="AC126" s="8"/>
      <c r="AD126" s="8"/>
      <c r="AE126" s="8"/>
      <c r="AF126" s="8"/>
      <c r="AG126" s="8"/>
      <c r="AH126" s="8"/>
      <c r="AI126" s="8"/>
      <c r="AJ126" s="8"/>
      <c r="AK126" s="8"/>
    </row>
    <row r="127" spans="2:42" ht="15" customHeight="1" x14ac:dyDescent="0.3">
      <c r="D127" s="4" t="s">
        <v>162</v>
      </c>
      <c r="F127" s="4" t="s">
        <v>140</v>
      </c>
      <c r="W127" s="197" t="s">
        <v>253</v>
      </c>
      <c r="X127" s="197"/>
      <c r="Y127" s="197"/>
      <c r="Z127" s="197"/>
      <c r="AB127" s="197" t="s">
        <v>252</v>
      </c>
      <c r="AC127" s="197"/>
      <c r="AD127" s="197"/>
      <c r="AE127" s="197"/>
      <c r="AF127" s="197"/>
      <c r="AG127" s="197"/>
      <c r="AH127" s="197"/>
      <c r="AM127" s="90">
        <f>SUM(AM131,AM133,AM135,AM137,AM139,AM141,AM143)</f>
        <v>7</v>
      </c>
      <c r="AN127" s="75"/>
      <c r="AP127" s="90">
        <f>SUM(AP131,AP133,AP135,AP137,AP139,AP141,AP143)</f>
        <v>0</v>
      </c>
    </row>
    <row r="128" spans="2:42" ht="4.95" customHeight="1" x14ac:dyDescent="0.3">
      <c r="AM128" s="75"/>
      <c r="AN128" s="75"/>
    </row>
    <row r="129" spans="3:42" ht="15" customHeight="1" x14ac:dyDescent="0.3">
      <c r="D129" s="54"/>
      <c r="F129" s="54"/>
      <c r="H129" s="4" t="s">
        <v>343</v>
      </c>
      <c r="AM129" s="90">
        <f>IF(AND(ISBLANK(D129),ISBLANK(F129)),1,2)</f>
        <v>1</v>
      </c>
      <c r="AN129" s="90">
        <f>IF(ISBLANK(F129),1,2)</f>
        <v>1</v>
      </c>
      <c r="AO129" s="90">
        <f>IF(ISBLANK(D129),1,2)</f>
        <v>1</v>
      </c>
      <c r="AP129" s="90">
        <f>IF(ISBLANK(F129),0,1)</f>
        <v>0</v>
      </c>
    </row>
    <row r="130" spans="3:42" ht="4.95" customHeight="1" x14ac:dyDescent="0.3">
      <c r="AM130" s="75"/>
      <c r="AN130" s="75"/>
    </row>
    <row r="131" spans="3:42" ht="15" customHeight="1" x14ac:dyDescent="0.3">
      <c r="D131" s="54"/>
      <c r="F131" s="54"/>
      <c r="H131" s="4" t="s">
        <v>278</v>
      </c>
      <c r="X131" s="214"/>
      <c r="Y131" s="214"/>
      <c r="AB131" s="246"/>
      <c r="AC131" s="246"/>
      <c r="AD131" s="246"/>
      <c r="AE131" s="246"/>
      <c r="AF131" s="246"/>
      <c r="AG131" s="246"/>
      <c r="AH131" s="246"/>
      <c r="AM131" s="90">
        <f>IF(AND(ISBLANK(D131),ISBLANK(F131)),1,2)</f>
        <v>1</v>
      </c>
      <c r="AN131" s="90">
        <f>IF(ISBLANK(F131),1,2)</f>
        <v>1</v>
      </c>
      <c r="AO131" s="90">
        <f>IF(ISBLANK(D131),1,2)</f>
        <v>1</v>
      </c>
      <c r="AP131" s="90">
        <f>IF(ISBLANK(F131),0,1)</f>
        <v>0</v>
      </c>
    </row>
    <row r="132" spans="3:42" ht="4.95" customHeight="1" x14ac:dyDescent="0.3">
      <c r="AM132" s="75"/>
      <c r="AN132" s="75"/>
    </row>
    <row r="133" spans="3:42" ht="15" customHeight="1" x14ac:dyDescent="0.3">
      <c r="D133" s="54"/>
      <c r="F133" s="54"/>
      <c r="H133" s="4" t="s">
        <v>349</v>
      </c>
      <c r="X133" s="214"/>
      <c r="Y133" s="214"/>
      <c r="AB133" s="246"/>
      <c r="AC133" s="246"/>
      <c r="AD133" s="246"/>
      <c r="AE133" s="246"/>
      <c r="AF133" s="246"/>
      <c r="AG133" s="246"/>
      <c r="AH133" s="246"/>
      <c r="AM133" s="90">
        <f>IF(AND(ISBLANK(D133),ISBLANK(F133)),1,2)</f>
        <v>1</v>
      </c>
      <c r="AN133" s="90">
        <f>IF(ISBLANK(F133),1,2)</f>
        <v>1</v>
      </c>
      <c r="AO133" s="90">
        <f>IF(ISBLANK(D133),1,2)</f>
        <v>1</v>
      </c>
      <c r="AP133" s="90">
        <f>IF(ISBLANK(F133),0,1)</f>
        <v>0</v>
      </c>
    </row>
    <row r="134" spans="3:42" ht="4.95" customHeight="1" x14ac:dyDescent="0.3">
      <c r="AM134" s="75"/>
      <c r="AN134" s="75"/>
    </row>
    <row r="135" spans="3:42" ht="15" customHeight="1" x14ac:dyDescent="0.3">
      <c r="D135" s="54"/>
      <c r="F135" s="54"/>
      <c r="H135" s="4" t="s">
        <v>445</v>
      </c>
      <c r="X135" s="214"/>
      <c r="Y135" s="214"/>
      <c r="AB135" s="246"/>
      <c r="AC135" s="246"/>
      <c r="AD135" s="246"/>
      <c r="AE135" s="246"/>
      <c r="AF135" s="246"/>
      <c r="AG135" s="246"/>
      <c r="AH135" s="246"/>
      <c r="AM135" s="90">
        <f>IF(AND(ISBLANK(D135),ISBLANK(F135)),1,2)</f>
        <v>1</v>
      </c>
      <c r="AN135" s="90">
        <f>IF(ISBLANK(F135),1,2)</f>
        <v>1</v>
      </c>
      <c r="AO135" s="90">
        <f>IF(ISBLANK(D135),1,2)</f>
        <v>1</v>
      </c>
      <c r="AP135" s="90">
        <f>IF(ISBLANK(F135),0,1)</f>
        <v>0</v>
      </c>
    </row>
    <row r="136" spans="3:42" ht="4.95" customHeight="1" x14ac:dyDescent="0.3">
      <c r="C136" s="3"/>
      <c r="D136" s="3"/>
      <c r="E136" s="3"/>
      <c r="F136" s="2"/>
      <c r="G136" s="2"/>
      <c r="J136" s="3"/>
      <c r="K136" s="8"/>
      <c r="L136" s="8"/>
      <c r="M136" s="8"/>
      <c r="N136" s="8"/>
      <c r="O136" s="8"/>
      <c r="P136" s="8"/>
      <c r="X136" s="8"/>
      <c r="Y136" s="8"/>
      <c r="Z136" s="8"/>
      <c r="AA136" s="8"/>
      <c r="AB136" s="8"/>
      <c r="AC136" s="8"/>
      <c r="AD136" s="8"/>
      <c r="AE136" s="8"/>
      <c r="AF136" s="8"/>
      <c r="AG136" s="8"/>
      <c r="AH136" s="8"/>
      <c r="AI136" s="8"/>
      <c r="AJ136" s="8"/>
      <c r="AK136" s="8"/>
    </row>
    <row r="137" spans="3:42" ht="15" customHeight="1" x14ac:dyDescent="0.3">
      <c r="C137" s="3"/>
      <c r="D137" s="54"/>
      <c r="F137" s="54"/>
      <c r="H137" s="4" t="s">
        <v>446</v>
      </c>
      <c r="X137" s="214"/>
      <c r="Y137" s="214"/>
      <c r="AB137" s="246"/>
      <c r="AC137" s="246"/>
      <c r="AD137" s="246"/>
      <c r="AE137" s="246"/>
      <c r="AF137" s="246"/>
      <c r="AG137" s="246"/>
      <c r="AH137" s="246"/>
      <c r="AM137" s="90">
        <f>IF(AND(ISBLANK(D137),ISBLANK(F137)),1,2)</f>
        <v>1</v>
      </c>
      <c r="AN137" s="90">
        <f>IF(ISBLANK(F137),1,2)</f>
        <v>1</v>
      </c>
      <c r="AO137" s="90">
        <f>IF(ISBLANK(D137),1,2)</f>
        <v>1</v>
      </c>
      <c r="AP137" s="90">
        <f>IF(ISBLANK(F137),0,1)</f>
        <v>0</v>
      </c>
    </row>
    <row r="138" spans="3:42" ht="4.95" customHeight="1" x14ac:dyDescent="0.3">
      <c r="F138" s="3"/>
      <c r="G138" s="3"/>
      <c r="I138" s="3"/>
      <c r="J138" s="3"/>
      <c r="K138" s="2"/>
      <c r="L138" s="2"/>
      <c r="M138" s="2"/>
      <c r="N138" s="2"/>
      <c r="O138" s="3"/>
      <c r="P138" s="8"/>
      <c r="Q138" s="8"/>
      <c r="R138" s="8"/>
      <c r="S138" s="8"/>
      <c r="T138" s="8"/>
      <c r="U138" s="8"/>
      <c r="V138" s="8"/>
      <c r="W138" s="8"/>
      <c r="X138" s="8"/>
      <c r="Y138" s="8"/>
      <c r="Z138" s="8"/>
      <c r="AA138" s="8"/>
      <c r="AB138" s="8"/>
      <c r="AC138" s="8"/>
      <c r="AD138" s="8"/>
      <c r="AE138" s="8"/>
      <c r="AF138" s="8"/>
      <c r="AG138" s="8"/>
      <c r="AH138" s="8"/>
      <c r="AI138" s="8"/>
      <c r="AJ138" s="8"/>
      <c r="AK138" s="8"/>
    </row>
    <row r="139" spans="3:42" ht="15" customHeight="1" x14ac:dyDescent="0.3">
      <c r="D139" s="54"/>
      <c r="F139" s="54"/>
      <c r="G139" s="3"/>
      <c r="H139" s="4" t="s">
        <v>277</v>
      </c>
      <c r="I139" s="3"/>
      <c r="J139" s="3"/>
      <c r="K139" s="2"/>
      <c r="L139" s="2"/>
      <c r="M139" s="2"/>
      <c r="N139" s="2"/>
      <c r="O139" s="3"/>
      <c r="P139" s="8"/>
      <c r="Q139" s="8"/>
      <c r="R139" s="8"/>
      <c r="S139" s="8"/>
      <c r="T139" s="8"/>
      <c r="U139" s="8"/>
      <c r="V139" s="8"/>
      <c r="W139" s="8"/>
      <c r="X139" s="214"/>
      <c r="Y139" s="214"/>
      <c r="AB139" s="246"/>
      <c r="AC139" s="246"/>
      <c r="AD139" s="246"/>
      <c r="AE139" s="246"/>
      <c r="AF139" s="246"/>
      <c r="AG139" s="246"/>
      <c r="AH139" s="246"/>
      <c r="AI139" s="8"/>
      <c r="AJ139" s="8"/>
      <c r="AK139" s="8"/>
      <c r="AM139" s="90">
        <f>IF(AND(ISBLANK(D139),ISBLANK(F139)),1,2)</f>
        <v>1</v>
      </c>
      <c r="AN139" s="90">
        <f>IF(ISBLANK(F139),1,2)</f>
        <v>1</v>
      </c>
      <c r="AO139" s="90">
        <f>IF(ISBLANK(D139),1,2)</f>
        <v>1</v>
      </c>
      <c r="AP139" s="90">
        <f>IF(ISBLANK(F139),0,1)</f>
        <v>0</v>
      </c>
    </row>
    <row r="140" spans="3:42" ht="4.95" customHeight="1" x14ac:dyDescent="0.3">
      <c r="F140" s="3"/>
      <c r="G140" s="3"/>
      <c r="H140" s="3"/>
      <c r="I140" s="3"/>
      <c r="J140" s="3"/>
      <c r="K140" s="2"/>
      <c r="L140" s="2"/>
      <c r="M140" s="2"/>
      <c r="N140" s="2"/>
      <c r="O140" s="3"/>
      <c r="P140" s="8"/>
      <c r="Q140" s="8"/>
      <c r="R140" s="8"/>
      <c r="S140" s="8"/>
      <c r="T140" s="8"/>
      <c r="U140" s="8"/>
      <c r="V140" s="8"/>
      <c r="W140" s="8"/>
      <c r="X140" s="8"/>
      <c r="Y140" s="8"/>
      <c r="Z140" s="8"/>
      <c r="AA140" s="8"/>
      <c r="AB140" s="8"/>
      <c r="AC140" s="8"/>
      <c r="AD140" s="8"/>
      <c r="AE140" s="8"/>
      <c r="AF140" s="8"/>
      <c r="AG140" s="8"/>
      <c r="AH140" s="8"/>
      <c r="AI140" s="8"/>
      <c r="AJ140" s="8"/>
      <c r="AK140" s="8"/>
    </row>
    <row r="141" spans="3:42" ht="15" customHeight="1" x14ac:dyDescent="0.3">
      <c r="D141" s="54"/>
      <c r="F141" s="54"/>
      <c r="G141" s="3"/>
      <c r="H141" s="4" t="s">
        <v>279</v>
      </c>
      <c r="I141" s="3"/>
      <c r="J141" s="3"/>
      <c r="K141" s="2"/>
      <c r="L141" s="2"/>
      <c r="M141" s="2"/>
      <c r="N141" s="2"/>
      <c r="O141" s="3"/>
      <c r="P141" s="8"/>
      <c r="Q141" s="8"/>
      <c r="R141" s="8"/>
      <c r="S141" s="8"/>
      <c r="T141" s="8"/>
      <c r="U141" s="8"/>
      <c r="V141" s="8"/>
      <c r="W141" s="8"/>
      <c r="X141" s="214"/>
      <c r="Y141" s="214"/>
      <c r="AB141" s="246"/>
      <c r="AC141" s="246"/>
      <c r="AD141" s="246"/>
      <c r="AE141" s="246"/>
      <c r="AF141" s="246"/>
      <c r="AG141" s="246"/>
      <c r="AH141" s="246"/>
      <c r="AI141" s="8"/>
      <c r="AJ141" s="8"/>
      <c r="AK141" s="8"/>
      <c r="AM141" s="90">
        <f>IF(AND(ISBLANK(D141),ISBLANK(F141)),1,2)</f>
        <v>1</v>
      </c>
      <c r="AN141" s="90">
        <f>IF(ISBLANK(F141),1,2)</f>
        <v>1</v>
      </c>
      <c r="AO141" s="90">
        <f>IF(ISBLANK(D141),1,2)</f>
        <v>1</v>
      </c>
      <c r="AP141" s="90">
        <f>IF(ISBLANK(F141),0,1)</f>
        <v>0</v>
      </c>
    </row>
    <row r="142" spans="3:42" ht="4.95" customHeight="1" x14ac:dyDescent="0.3">
      <c r="F142" s="3"/>
      <c r="G142" s="3"/>
      <c r="H142" s="3"/>
      <c r="I142" s="3"/>
      <c r="J142" s="3"/>
      <c r="K142" s="2"/>
      <c r="L142" s="2"/>
      <c r="M142" s="2"/>
      <c r="N142" s="2"/>
      <c r="O142" s="3"/>
      <c r="P142" s="8"/>
      <c r="Q142" s="8"/>
      <c r="R142" s="8"/>
      <c r="S142" s="8"/>
      <c r="T142" s="8"/>
      <c r="U142" s="8"/>
      <c r="V142" s="8"/>
      <c r="W142" s="8"/>
      <c r="X142" s="8"/>
      <c r="Y142" s="8"/>
      <c r="Z142" s="8"/>
      <c r="AA142" s="8"/>
      <c r="AB142" s="8"/>
      <c r="AC142" s="8"/>
      <c r="AD142" s="8"/>
      <c r="AE142" s="8"/>
      <c r="AF142" s="8"/>
      <c r="AG142" s="8"/>
      <c r="AH142" s="8"/>
      <c r="AI142" s="8"/>
      <c r="AJ142" s="8"/>
      <c r="AK142" s="8"/>
    </row>
    <row r="143" spans="3:42" ht="15" customHeight="1" x14ac:dyDescent="0.3">
      <c r="F143" s="3"/>
      <c r="G143" s="3"/>
      <c r="I143" s="3"/>
      <c r="J143" s="3"/>
      <c r="K143" s="2"/>
      <c r="L143" s="2"/>
      <c r="M143" s="2"/>
      <c r="N143" s="2"/>
      <c r="O143" s="3"/>
      <c r="P143" s="8"/>
      <c r="Q143" s="8"/>
      <c r="R143" s="8"/>
      <c r="S143" s="8"/>
      <c r="T143" s="8"/>
      <c r="U143" s="8"/>
      <c r="V143" s="8"/>
      <c r="W143" s="8"/>
      <c r="X143" s="8"/>
      <c r="Y143" s="8"/>
      <c r="Z143" s="8"/>
      <c r="AA143" s="8"/>
      <c r="AB143" s="8"/>
      <c r="AC143" s="8"/>
      <c r="AD143" s="8"/>
      <c r="AE143" s="8"/>
      <c r="AF143" s="8"/>
      <c r="AG143" s="8"/>
      <c r="AH143" s="8"/>
      <c r="AI143" s="8"/>
      <c r="AJ143" s="8"/>
      <c r="AK143" s="8"/>
      <c r="AM143" s="90">
        <f>IF(AND(ISBLANK(D143),ISBLANK(F143)),1,2)</f>
        <v>1</v>
      </c>
      <c r="AN143" s="90">
        <f>IF(ISBLANK(F143),1,2)</f>
        <v>1</v>
      </c>
      <c r="AO143" s="90">
        <f>IF(ISBLANK(D143),1,2)</f>
        <v>1</v>
      </c>
      <c r="AP143" s="90">
        <f>IF(ISBLANK(F143),0,1)</f>
        <v>0</v>
      </c>
    </row>
    <row r="144" spans="3:42" ht="15" customHeight="1" x14ac:dyDescent="0.3"/>
    <row r="145" spans="2:38" ht="15" customHeight="1" x14ac:dyDescent="0.3"/>
    <row r="146" spans="2:38" ht="15" customHeight="1" x14ac:dyDescent="0.3"/>
    <row r="147" spans="2:38" ht="15" customHeight="1" x14ac:dyDescent="0.3"/>
    <row r="148" spans="2:38" ht="15" customHeight="1" x14ac:dyDescent="0.3">
      <c r="B148" s="177">
        <f>Tables!$F$13</f>
        <v>45931</v>
      </c>
      <c r="C148" s="177"/>
      <c r="D148" s="177"/>
      <c r="E148" s="177"/>
      <c r="F148" s="177"/>
      <c r="G148" s="71"/>
      <c r="H148" s="71"/>
      <c r="I148" s="71"/>
      <c r="R148" s="4" t="s">
        <v>255</v>
      </c>
    </row>
    <row r="149" spans="2:38" ht="15" customHeight="1" x14ac:dyDescent="0.3">
      <c r="C149" s="2" t="s">
        <v>1</v>
      </c>
      <c r="D149" s="180">
        <f>IF(ISBLANK($E$7),"",$E$7)</f>
        <v>0</v>
      </c>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F149" s="2" t="s">
        <v>18</v>
      </c>
      <c r="AG149" s="181">
        <f>IF(ISBLANK($AF$7),0,$AF$7)</f>
        <v>0</v>
      </c>
      <c r="AH149" s="181"/>
      <c r="AI149" s="181"/>
      <c r="AJ149" s="181"/>
      <c r="AK149" s="181"/>
    </row>
    <row r="150" spans="2:38" ht="15" customHeight="1" x14ac:dyDescent="0.3">
      <c r="F150" s="3"/>
      <c r="G150" s="3"/>
      <c r="H150" s="3"/>
      <c r="I150" s="3"/>
      <c r="J150" s="3"/>
      <c r="K150" s="2"/>
      <c r="L150" s="2"/>
      <c r="M150" s="2"/>
      <c r="N150" s="2"/>
      <c r="O150" s="3"/>
      <c r="P150" s="8"/>
      <c r="Q150" s="8"/>
      <c r="R150" s="8"/>
      <c r="S150" s="8"/>
      <c r="T150" s="8"/>
      <c r="U150" s="8"/>
      <c r="V150" s="8"/>
      <c r="W150" s="8"/>
      <c r="X150" s="8"/>
      <c r="Y150" s="8"/>
      <c r="Z150" s="8"/>
      <c r="AA150" s="8"/>
      <c r="AB150" s="8"/>
      <c r="AC150" s="8"/>
      <c r="AD150" s="8"/>
      <c r="AE150" s="8"/>
      <c r="AF150" s="2" t="s">
        <v>31</v>
      </c>
      <c r="AG150" s="178">
        <f>IF(ISBLANK($AF$8),"",$AF$8)</f>
        <v>0</v>
      </c>
      <c r="AH150" s="178"/>
      <c r="AI150" s="178"/>
      <c r="AJ150" s="178"/>
      <c r="AK150" s="178"/>
    </row>
    <row r="151" spans="2:38" ht="15" customHeight="1" x14ac:dyDescent="0.3"/>
    <row r="152" spans="2:38" ht="15" customHeight="1" x14ac:dyDescent="0.3">
      <c r="B152" s="1" t="s">
        <v>17</v>
      </c>
      <c r="C152" s="1"/>
      <c r="D152" s="1"/>
      <c r="E152" s="1"/>
      <c r="F152" s="1"/>
      <c r="G152" s="1"/>
      <c r="H152" s="1"/>
      <c r="I152" s="1"/>
      <c r="J152" s="1"/>
    </row>
    <row r="153" spans="2:38" ht="15" customHeight="1" x14ac:dyDescent="0.3">
      <c r="B153" s="245" t="s">
        <v>191</v>
      </c>
      <c r="C153" s="245"/>
      <c r="D153" s="245"/>
      <c r="E153" s="245"/>
      <c r="F153" s="245"/>
      <c r="G153" s="245"/>
      <c r="H153" s="245"/>
      <c r="I153" s="245"/>
      <c r="J153" s="245"/>
      <c r="K153" s="245"/>
      <c r="L153" s="245"/>
      <c r="M153" s="245"/>
      <c r="N153" s="245"/>
      <c r="O153" s="245"/>
      <c r="P153" s="245"/>
      <c r="Q153" s="245"/>
      <c r="R153" s="245"/>
      <c r="S153" s="245"/>
      <c r="T153" s="245"/>
      <c r="U153" s="245"/>
      <c r="V153" s="245"/>
      <c r="W153" s="245"/>
      <c r="X153" s="245"/>
      <c r="Y153" s="245"/>
      <c r="Z153" s="245"/>
      <c r="AA153" s="245"/>
      <c r="AB153" s="245"/>
      <c r="AC153" s="245"/>
      <c r="AD153" s="245"/>
      <c r="AE153" s="245"/>
      <c r="AF153" s="245"/>
      <c r="AG153" s="245"/>
      <c r="AH153" s="245"/>
      <c r="AI153" s="245"/>
      <c r="AJ153" s="245"/>
      <c r="AK153" s="245"/>
      <c r="AL153" s="50"/>
    </row>
    <row r="154" spans="2:38" ht="15" customHeight="1" x14ac:dyDescent="0.3">
      <c r="B154" s="245"/>
      <c r="C154" s="245"/>
      <c r="D154" s="245"/>
      <c r="E154" s="245"/>
      <c r="F154" s="245"/>
      <c r="G154" s="245"/>
      <c r="H154" s="245"/>
      <c r="I154" s="245"/>
      <c r="J154" s="245"/>
      <c r="K154" s="245"/>
      <c r="L154" s="245"/>
      <c r="M154" s="245"/>
      <c r="N154" s="245"/>
      <c r="O154" s="245"/>
      <c r="P154" s="245"/>
      <c r="Q154" s="245"/>
      <c r="R154" s="245"/>
      <c r="S154" s="245"/>
      <c r="T154" s="245"/>
      <c r="U154" s="245"/>
      <c r="V154" s="245"/>
      <c r="W154" s="245"/>
      <c r="X154" s="245"/>
      <c r="Y154" s="245"/>
      <c r="Z154" s="245"/>
      <c r="AA154" s="245"/>
      <c r="AB154" s="245"/>
      <c r="AC154" s="245"/>
      <c r="AD154" s="245"/>
      <c r="AE154" s="245"/>
      <c r="AF154" s="245"/>
      <c r="AG154" s="245"/>
      <c r="AH154" s="245"/>
      <c r="AI154" s="245"/>
      <c r="AJ154" s="245"/>
      <c r="AK154" s="245"/>
      <c r="AL154" s="50"/>
    </row>
    <row r="155" spans="2:38" ht="15" customHeight="1" x14ac:dyDescent="0.3">
      <c r="B155" s="245"/>
      <c r="C155" s="245"/>
      <c r="D155" s="245"/>
      <c r="E155" s="245"/>
      <c r="F155" s="245"/>
      <c r="G155" s="245"/>
      <c r="H155" s="245"/>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5"/>
      <c r="AE155" s="245"/>
      <c r="AF155" s="245"/>
      <c r="AG155" s="245"/>
      <c r="AH155" s="245"/>
      <c r="AI155" s="245"/>
      <c r="AJ155" s="245"/>
      <c r="AK155" s="245"/>
      <c r="AL155" s="50"/>
    </row>
    <row r="156" spans="2:38" ht="15" customHeight="1" x14ac:dyDescent="0.3">
      <c r="B156" s="245"/>
      <c r="C156" s="245"/>
      <c r="D156" s="245"/>
      <c r="E156" s="245"/>
      <c r="F156" s="245"/>
      <c r="G156" s="245"/>
      <c r="H156" s="245"/>
      <c r="I156" s="245"/>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245"/>
      <c r="AF156" s="245"/>
      <c r="AG156" s="245"/>
      <c r="AH156" s="245"/>
      <c r="AI156" s="245"/>
      <c r="AJ156" s="245"/>
      <c r="AK156" s="245"/>
      <c r="AL156" s="50"/>
    </row>
    <row r="157" spans="2:38" ht="15" customHeight="1" x14ac:dyDescent="0.3">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row>
    <row r="158" spans="2:38" ht="15" customHeight="1" x14ac:dyDescent="0.3">
      <c r="D158" s="2" t="s">
        <v>163</v>
      </c>
      <c r="E158" s="193"/>
      <c r="F158" s="193"/>
      <c r="G158" s="193"/>
      <c r="H158" s="193"/>
      <c r="I158" s="193"/>
      <c r="J158" s="193"/>
      <c r="K158" s="193"/>
      <c r="L158" s="193"/>
      <c r="M158" s="193"/>
      <c r="N158" s="193"/>
      <c r="O158" s="193"/>
      <c r="P158" s="193"/>
      <c r="Q158" s="193"/>
      <c r="R158" s="193"/>
      <c r="S158" s="193"/>
      <c r="T158" s="193"/>
      <c r="U158" s="193"/>
      <c r="V158" s="193"/>
      <c r="W158" s="193"/>
      <c r="X158" s="193"/>
      <c r="Y158" s="193"/>
      <c r="AB158" s="2" t="s">
        <v>232</v>
      </c>
      <c r="AC158" s="2"/>
      <c r="AD158" s="2"/>
      <c r="AE158" s="2"/>
    </row>
    <row r="159" spans="2:38" ht="15" customHeight="1" x14ac:dyDescent="0.3">
      <c r="D159" s="2" t="s">
        <v>131</v>
      </c>
      <c r="E159" s="194"/>
      <c r="F159" s="194"/>
      <c r="G159" s="194"/>
      <c r="H159" s="194"/>
      <c r="I159" s="194"/>
      <c r="J159" s="194"/>
      <c r="K159" s="194"/>
      <c r="L159" s="194"/>
      <c r="M159" s="194"/>
      <c r="N159" s="194"/>
      <c r="O159" s="194"/>
      <c r="P159" s="194"/>
      <c r="Q159" s="194"/>
      <c r="R159" s="194"/>
      <c r="S159" s="194"/>
      <c r="T159" s="194"/>
      <c r="U159" s="194"/>
      <c r="V159" s="194"/>
      <c r="W159" s="194"/>
      <c r="X159" s="194"/>
      <c r="Y159" s="194"/>
    </row>
    <row r="160" spans="2:38" ht="15" customHeight="1" x14ac:dyDescent="0.3">
      <c r="D160" s="2" t="s">
        <v>132</v>
      </c>
      <c r="E160" s="194"/>
      <c r="F160" s="194"/>
      <c r="G160" s="194"/>
      <c r="H160" s="194"/>
      <c r="I160" s="194"/>
      <c r="J160" s="194"/>
      <c r="K160" s="194"/>
      <c r="L160" s="194"/>
      <c r="M160" s="194"/>
      <c r="N160" s="194"/>
      <c r="O160" s="194"/>
      <c r="P160" s="194"/>
      <c r="Q160" s="194"/>
      <c r="R160" s="194"/>
      <c r="S160" s="194"/>
      <c r="T160" s="194"/>
      <c r="U160" s="194"/>
      <c r="V160" s="194"/>
      <c r="W160" s="194"/>
      <c r="X160" s="194"/>
      <c r="Y160" s="194"/>
    </row>
    <row r="161" spans="2:39" ht="15" customHeight="1" x14ac:dyDescent="0.3">
      <c r="D161" s="2" t="s">
        <v>206</v>
      </c>
      <c r="E161" s="194"/>
      <c r="F161" s="194"/>
      <c r="G161" s="194"/>
      <c r="H161" s="194"/>
      <c r="I161" s="194"/>
      <c r="J161" s="194"/>
      <c r="K161" s="194"/>
      <c r="L161" s="53"/>
      <c r="M161" s="53"/>
      <c r="N161" s="98" t="s">
        <v>135</v>
      </c>
      <c r="O161" s="194"/>
      <c r="P161" s="194"/>
      <c r="Q161" s="194"/>
      <c r="R161" s="194"/>
      <c r="S161" s="53"/>
      <c r="T161" s="53"/>
      <c r="U161" s="53"/>
      <c r="V161" s="98" t="s">
        <v>136</v>
      </c>
      <c r="W161" s="192"/>
      <c r="X161" s="192"/>
      <c r="Y161" s="192"/>
    </row>
    <row r="162" spans="2:39" ht="15" customHeight="1" x14ac:dyDescent="0.3">
      <c r="D162" s="2" t="s">
        <v>133</v>
      </c>
      <c r="E162" s="195"/>
      <c r="F162" s="195"/>
      <c r="G162" s="195"/>
      <c r="H162" s="195"/>
      <c r="I162" s="195"/>
      <c r="J162" s="195"/>
      <c r="K162" s="195"/>
      <c r="L162" s="195"/>
      <c r="M162" s="195"/>
      <c r="N162" s="195"/>
      <c r="O162" s="195"/>
      <c r="P162" s="195"/>
      <c r="Q162" s="195"/>
      <c r="R162" s="195"/>
      <c r="S162" s="195"/>
      <c r="T162" s="195"/>
      <c r="U162" s="195"/>
      <c r="V162" s="195"/>
      <c r="W162" s="195"/>
      <c r="X162" s="195"/>
      <c r="Y162" s="195"/>
    </row>
    <row r="163" spans="2:39" ht="15" customHeight="1" x14ac:dyDescent="0.3">
      <c r="D163" s="2" t="s">
        <v>137</v>
      </c>
      <c r="E163" s="191"/>
      <c r="F163" s="191"/>
      <c r="G163" s="191"/>
      <c r="H163" s="191"/>
      <c r="I163" s="191"/>
      <c r="U163" s="50"/>
      <c r="V163" s="50"/>
      <c r="W163" s="50"/>
    </row>
    <row r="164" spans="2:39" ht="15" customHeight="1" x14ac:dyDescent="0.3">
      <c r="D164" s="2"/>
      <c r="E164" s="53"/>
      <c r="F164" s="53"/>
      <c r="G164" s="53"/>
      <c r="H164" s="53"/>
      <c r="I164" s="53"/>
      <c r="U164" s="50"/>
      <c r="V164" s="50"/>
      <c r="W164" s="50"/>
    </row>
    <row r="165" spans="2:39" ht="15" customHeight="1" x14ac:dyDescent="0.3">
      <c r="D165" s="2" t="s">
        <v>164</v>
      </c>
      <c r="E165" s="66"/>
      <c r="F165" s="66"/>
      <c r="G165" s="66"/>
      <c r="H165" s="66"/>
      <c r="I165" s="66"/>
      <c r="J165" s="66"/>
      <c r="K165" s="66"/>
      <c r="L165" s="66"/>
      <c r="M165" s="66"/>
      <c r="N165" s="66"/>
      <c r="O165" s="66"/>
      <c r="P165" s="66"/>
      <c r="Q165" s="66"/>
      <c r="R165" s="66"/>
      <c r="S165" s="66"/>
      <c r="T165" s="66"/>
      <c r="U165" s="50"/>
      <c r="V165" s="50"/>
      <c r="W165" s="50"/>
      <c r="AB165" s="2" t="s">
        <v>158</v>
      </c>
      <c r="AC165" s="198"/>
      <c r="AD165" s="198"/>
      <c r="AE165" s="198"/>
      <c r="AF165" s="198"/>
      <c r="AG165" s="198"/>
    </row>
    <row r="166" spans="2:39" ht="15" customHeight="1" x14ac:dyDescent="0.3"/>
    <row r="167" spans="2:39" ht="15" customHeight="1" x14ac:dyDescent="0.3">
      <c r="B167" s="23" t="s">
        <v>79</v>
      </c>
      <c r="C167" s="72"/>
      <c r="D167" s="72"/>
      <c r="E167" s="72"/>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125" t="s">
        <v>341</v>
      </c>
      <c r="AF167" s="249">
        <f>'From 2A.1 - Design'!AE7</f>
        <v>0</v>
      </c>
      <c r="AG167" s="249"/>
      <c r="AH167" s="249"/>
      <c r="AI167" s="249"/>
      <c r="AJ167" s="249"/>
      <c r="AK167" s="249"/>
      <c r="AL167" s="25"/>
      <c r="AM167" s="42" t="s">
        <v>235</v>
      </c>
    </row>
    <row r="168" spans="2:39" ht="15" customHeight="1" x14ac:dyDescent="0.3">
      <c r="B168" s="26"/>
      <c r="C168" s="27"/>
      <c r="D168" s="27"/>
      <c r="E168" s="27"/>
      <c r="F168" s="27"/>
      <c r="G168" s="27"/>
      <c r="H168" s="27"/>
      <c r="I168" s="27"/>
      <c r="J168" s="27"/>
      <c r="K168" s="34" t="s">
        <v>80</v>
      </c>
      <c r="L168" s="34"/>
      <c r="M168" s="35" t="s">
        <v>81</v>
      </c>
      <c r="N168" s="34"/>
      <c r="O168" s="34"/>
      <c r="P168" s="35"/>
      <c r="Q168" s="35"/>
      <c r="R168" s="35"/>
      <c r="S168" s="35"/>
      <c r="T168" s="27"/>
      <c r="U168" s="27"/>
      <c r="V168" s="27"/>
      <c r="W168" s="27"/>
      <c r="X168" s="27"/>
      <c r="Y168" s="27"/>
      <c r="Z168" s="27"/>
      <c r="AA168" s="27"/>
      <c r="AB168" s="27"/>
      <c r="AC168" s="27"/>
      <c r="AD168" s="27"/>
      <c r="AE168" s="27"/>
      <c r="AF168" s="27"/>
      <c r="AG168" s="27"/>
      <c r="AH168" s="27"/>
      <c r="AI168" s="27"/>
      <c r="AJ168" s="27"/>
      <c r="AK168" s="27"/>
      <c r="AL168" s="28"/>
      <c r="AM168" s="90">
        <f>SUM(AM169:AM185)</f>
        <v>13</v>
      </c>
    </row>
    <row r="169" spans="2:39" ht="15" customHeight="1" x14ac:dyDescent="0.3">
      <c r="B169" s="26"/>
      <c r="C169" s="27"/>
      <c r="D169" s="27"/>
      <c r="E169" s="27"/>
      <c r="F169" s="27"/>
      <c r="G169" s="27"/>
      <c r="H169" s="27"/>
      <c r="I169" s="27"/>
      <c r="J169" s="27"/>
      <c r="K169" s="29" t="str">
        <f>IF(Tables!F25=0,"",Tables!F25&amp;":")</f>
        <v/>
      </c>
      <c r="L169" s="34"/>
      <c r="M169" s="27"/>
      <c r="N169" s="34"/>
      <c r="O169" s="34"/>
      <c r="P169" s="35"/>
      <c r="Q169" s="35"/>
      <c r="R169" s="35"/>
      <c r="S169" s="35"/>
      <c r="T169" s="27"/>
      <c r="U169" s="27"/>
      <c r="V169" s="27"/>
      <c r="W169" s="27"/>
      <c r="X169" s="27"/>
      <c r="Y169" s="27"/>
      <c r="Z169" s="27"/>
      <c r="AA169" s="27"/>
      <c r="AB169" s="27"/>
      <c r="AC169" s="27"/>
      <c r="AD169" s="27"/>
      <c r="AE169" s="27"/>
      <c r="AF169" s="27"/>
      <c r="AG169" s="27"/>
      <c r="AH169" s="27"/>
      <c r="AI169" s="27"/>
      <c r="AJ169" s="27"/>
      <c r="AK169" s="27"/>
      <c r="AL169" s="28"/>
      <c r="AM169" s="90">
        <f>IF(M169="",0,1)</f>
        <v>0</v>
      </c>
    </row>
    <row r="170" spans="2:39" ht="15" customHeight="1" x14ac:dyDescent="0.3">
      <c r="B170" s="26"/>
      <c r="C170" s="27"/>
      <c r="D170" s="27"/>
      <c r="E170" s="27"/>
      <c r="F170" s="27"/>
      <c r="G170" s="27"/>
      <c r="H170" s="27"/>
      <c r="I170" s="27"/>
      <c r="J170" s="27"/>
      <c r="K170" s="29" t="s">
        <v>84</v>
      </c>
      <c r="L170" s="29"/>
      <c r="M170" s="27" t="str">
        <f>IF(AM36&lt;6,Tables!J4,"")</f>
        <v>Emergency Spillway Section not completed</v>
      </c>
      <c r="N170" s="29"/>
      <c r="O170" s="29"/>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8"/>
      <c r="AM170" s="90">
        <f>IF(M170="",0,1)</f>
        <v>1</v>
      </c>
    </row>
    <row r="171" spans="2:39" ht="15" customHeight="1" x14ac:dyDescent="0.3">
      <c r="B171" s="26"/>
      <c r="C171" s="27"/>
      <c r="D171" s="27"/>
      <c r="E171" s="27"/>
      <c r="F171" s="27"/>
      <c r="G171" s="27"/>
      <c r="H171" s="27"/>
      <c r="I171" s="27"/>
      <c r="J171" s="27"/>
      <c r="K171" s="29" t="s">
        <v>205</v>
      </c>
      <c r="L171" s="29"/>
      <c r="M171" s="27" t="str">
        <f>IF(OR(AO92&lt;1,AO93&lt;1),Tables!J11,"")</f>
        <v>Freeboard  &lt;  1.0 ft</v>
      </c>
      <c r="N171" s="29"/>
      <c r="O171" s="29"/>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8"/>
      <c r="AM171" s="90">
        <f>IF(M171="",0,1)</f>
        <v>1</v>
      </c>
    </row>
    <row r="172" spans="2:39" ht="15" customHeight="1" x14ac:dyDescent="0.3">
      <c r="B172" s="26"/>
      <c r="C172" s="27"/>
      <c r="D172" s="27"/>
      <c r="E172" s="27"/>
      <c r="F172" s="27"/>
      <c r="G172" s="27"/>
      <c r="H172" s="27"/>
      <c r="I172" s="27"/>
      <c r="J172" s="27"/>
      <c r="K172" s="29" t="s">
        <v>110</v>
      </c>
      <c r="L172" s="29"/>
      <c r="M172" s="27" t="str">
        <f>IF(AO42&lt;2,Tables!J8,"")</f>
        <v>Latitude and/or Longitude not provided</v>
      </c>
      <c r="N172" s="29"/>
      <c r="O172" s="29"/>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8"/>
      <c r="AM172" s="90">
        <f t="shared" ref="AM172:AM185" si="15">IF(M172="",0,1)</f>
        <v>1</v>
      </c>
    </row>
    <row r="173" spans="2:39" ht="15" customHeight="1" x14ac:dyDescent="0.3">
      <c r="B173" s="26"/>
      <c r="C173" s="27"/>
      <c r="D173" s="27"/>
      <c r="E173" s="27"/>
      <c r="F173" s="27"/>
      <c r="G173" s="27"/>
      <c r="H173" s="27"/>
      <c r="I173" s="27"/>
      <c r="J173" s="27"/>
      <c r="K173" s="29"/>
      <c r="L173" s="29"/>
      <c r="M173" s="27" t="str">
        <f>IF(AND(AR42=1,AR43=1),Tables!$J$15,IF(OR(AR42=3,AR43=3),Tables!$J$15,""))</f>
        <v>Latitude and/or Longitude has been entered as text.  Change to a number.</v>
      </c>
      <c r="N173" s="29"/>
      <c r="O173" s="29"/>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8"/>
      <c r="AM173" s="90">
        <f t="shared" si="15"/>
        <v>1</v>
      </c>
    </row>
    <row r="174" spans="2:39" ht="15" customHeight="1" x14ac:dyDescent="0.3">
      <c r="B174" s="26"/>
      <c r="C174" s="27"/>
      <c r="D174" s="27"/>
      <c r="E174" s="27"/>
      <c r="F174" s="27"/>
      <c r="G174" s="27"/>
      <c r="H174" s="27"/>
      <c r="I174" s="27"/>
      <c r="J174" s="27"/>
      <c r="K174" s="29" t="s">
        <v>144</v>
      </c>
      <c r="L174" s="29"/>
      <c r="M174" s="27" t="str">
        <f>IF(AO58=2,Tables!J9,IF(AM58=1,"",Tables!J9))</f>
        <v>WQv Required &gt; WQv Provided</v>
      </c>
      <c r="N174" s="29"/>
      <c r="O174" s="29"/>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8"/>
      <c r="AM174" s="90">
        <f t="shared" si="15"/>
        <v>1</v>
      </c>
    </row>
    <row r="175" spans="2:39" ht="15" customHeight="1" x14ac:dyDescent="0.3">
      <c r="B175" s="26"/>
      <c r="C175" s="27"/>
      <c r="D175" s="27"/>
      <c r="E175" s="27"/>
      <c r="F175" s="27"/>
      <c r="G175" s="27"/>
      <c r="H175" s="27"/>
      <c r="I175" s="27"/>
      <c r="J175" s="27"/>
      <c r="K175" s="29" t="s">
        <v>441</v>
      </c>
      <c r="L175" s="29"/>
      <c r="M175" s="27" t="str">
        <f>IF(AM61=0,Tables!J21,IF(AM61=1,Tables!J21,""))</f>
        <v>Slope of the bottom of the detention pond  &lt; 1.00%</v>
      </c>
      <c r="N175" s="29"/>
      <c r="O175" s="29"/>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8"/>
      <c r="AM175" s="90">
        <f t="shared" si="15"/>
        <v>1</v>
      </c>
    </row>
    <row r="176" spans="2:39" ht="15" customHeight="1" x14ac:dyDescent="0.3">
      <c r="B176" s="26"/>
      <c r="C176" s="27"/>
      <c r="D176" s="27"/>
      <c r="E176" s="27"/>
      <c r="F176" s="27"/>
      <c r="G176" s="27"/>
      <c r="H176" s="27"/>
      <c r="I176" s="27"/>
      <c r="J176" s="27"/>
      <c r="K176" s="96" t="s">
        <v>85</v>
      </c>
      <c r="L176" s="29"/>
      <c r="M176" s="27"/>
      <c r="N176" s="29"/>
      <c r="O176" s="29"/>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8"/>
      <c r="AM176" s="90">
        <f t="shared" si="15"/>
        <v>0</v>
      </c>
    </row>
    <row r="177" spans="2:39" ht="15" customHeight="1" x14ac:dyDescent="0.3">
      <c r="B177" s="26"/>
      <c r="C177" s="27"/>
      <c r="D177" s="27"/>
      <c r="E177" s="27"/>
      <c r="F177" s="27"/>
      <c r="G177" s="27"/>
      <c r="H177" s="27"/>
      <c r="I177" s="27"/>
      <c r="J177" s="27"/>
      <c r="K177" s="29" t="s">
        <v>149</v>
      </c>
      <c r="L177" s="29"/>
      <c r="M177" s="27" t="str">
        <f>IF(AM87&gt;0,Tables!J10,"")</f>
        <v>As-Built does not match Design, provide a reason in the Comments section</v>
      </c>
      <c r="N177" s="29"/>
      <c r="O177" s="29"/>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8"/>
      <c r="AM177" s="90">
        <f t="shared" si="15"/>
        <v>1</v>
      </c>
    </row>
    <row r="178" spans="2:39" ht="15" customHeight="1" x14ac:dyDescent="0.3">
      <c r="B178" s="26"/>
      <c r="C178" s="27"/>
      <c r="D178" s="27"/>
      <c r="E178" s="27"/>
      <c r="F178" s="27"/>
      <c r="G178" s="27"/>
      <c r="H178" s="27"/>
      <c r="I178" s="27"/>
      <c r="J178" s="27"/>
      <c r="K178" s="29" t="s">
        <v>150</v>
      </c>
      <c r="L178" s="29"/>
      <c r="M178" s="27" t="str">
        <f>IF(AN87&gt;0,Tables!J10,"")</f>
        <v>As-Built does not match Design, provide a reason in the Comments section</v>
      </c>
      <c r="N178" s="29"/>
      <c r="O178" s="29"/>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8"/>
      <c r="AM178" s="90">
        <f t="shared" si="15"/>
        <v>1</v>
      </c>
    </row>
    <row r="179" spans="2:39" ht="15" customHeight="1" x14ac:dyDescent="0.3">
      <c r="B179" s="26"/>
      <c r="C179" s="27"/>
      <c r="D179" s="27"/>
      <c r="E179" s="27"/>
      <c r="F179" s="27"/>
      <c r="G179" s="27"/>
      <c r="H179" s="27"/>
      <c r="I179" s="27"/>
      <c r="J179" s="27"/>
      <c r="K179" s="29" t="s">
        <v>78</v>
      </c>
      <c r="L179" s="29"/>
      <c r="M179" s="27" t="str">
        <f>IF(AO87&gt;0,Tables!J7,"")</f>
        <v>Max Stage for 2, 5, 10, 25 and/or 50-year storm  &gt; emergency spillway crest elevation</v>
      </c>
      <c r="N179" s="29"/>
      <c r="O179" s="29"/>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8"/>
      <c r="AM179" s="90">
        <f t="shared" si="15"/>
        <v>1</v>
      </c>
    </row>
    <row r="180" spans="2:39" ht="15" customHeight="1" x14ac:dyDescent="0.3">
      <c r="B180" s="26"/>
      <c r="C180" s="27"/>
      <c r="D180" s="27"/>
      <c r="E180" s="27"/>
      <c r="F180" s="27"/>
      <c r="G180" s="27"/>
      <c r="H180" s="27"/>
      <c r="I180" s="27"/>
      <c r="J180" s="27"/>
      <c r="K180" s="29" t="s">
        <v>175</v>
      </c>
      <c r="L180" s="29"/>
      <c r="M180" s="27" t="str">
        <f>IF(AT87&gt;0,Tables!J18,"")</f>
        <v>Outlet Control Structure Velocity &gt; 6 ft/s</v>
      </c>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8"/>
      <c r="AM180" s="90">
        <f t="shared" si="15"/>
        <v>1</v>
      </c>
    </row>
    <row r="181" spans="2:39" ht="15" customHeight="1" x14ac:dyDescent="0.3">
      <c r="B181" s="26"/>
      <c r="C181" s="27"/>
      <c r="D181" s="27"/>
      <c r="E181" s="27"/>
      <c r="F181" s="27"/>
      <c r="G181" s="27"/>
      <c r="H181" s="27"/>
      <c r="I181" s="27"/>
      <c r="J181" s="27"/>
      <c r="K181" s="29"/>
      <c r="L181" s="29"/>
      <c r="M181" s="27" t="str">
        <f>IF(AP87&gt;0,Tables!J6,"")</f>
        <v>Emergency Spillway Velocity &gt; 6 ft/s</v>
      </c>
      <c r="N181" s="29"/>
      <c r="O181" s="29"/>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8"/>
      <c r="AM181" s="90">
        <f t="shared" si="15"/>
        <v>1</v>
      </c>
    </row>
    <row r="182" spans="2:39" ht="15" customHeight="1" x14ac:dyDescent="0.3">
      <c r="B182" s="26"/>
      <c r="C182" s="27"/>
      <c r="D182" s="27"/>
      <c r="E182" s="27"/>
      <c r="F182" s="27"/>
      <c r="G182" s="27"/>
      <c r="H182" s="27"/>
      <c r="I182" s="27"/>
      <c r="J182" s="27"/>
      <c r="K182" s="29" t="s">
        <v>86</v>
      </c>
      <c r="L182" s="29"/>
      <c r="M182" s="27" t="str">
        <f>IF(OR(AQ87&gt;0,AS87&gt;0),Tables!J5,"")</f>
        <v>Total Post Q &gt; Pre Q</v>
      </c>
      <c r="N182" s="29"/>
      <c r="O182" s="29"/>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8"/>
      <c r="AM182" s="90">
        <f t="shared" si="15"/>
        <v>1</v>
      </c>
    </row>
    <row r="183" spans="2:39" ht="15" customHeight="1" x14ac:dyDescent="0.3">
      <c r="B183" s="26"/>
      <c r="C183" s="27"/>
      <c r="D183" s="27"/>
      <c r="E183" s="27"/>
      <c r="F183" s="27"/>
      <c r="G183" s="27"/>
      <c r="H183" s="27"/>
      <c r="I183" s="27"/>
      <c r="J183" s="27"/>
      <c r="K183" s="29"/>
      <c r="L183" s="29"/>
      <c r="M183" s="27" t="str">
        <f>IF(AQ81="Yes",IF(AND(ISBLANK('From 2A.1 - Design'!$C$124),ISBLANK('From 2A.1 - Design'!$F$124)),Tables!$J$14,IF(AND($AQ$87&gt;0,$AP$81=2),Tables!$J$14,"")),"")</f>
        <v/>
      </c>
      <c r="N183" s="29"/>
      <c r="O183" s="29"/>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8"/>
      <c r="AM183" s="90">
        <f t="shared" si="15"/>
        <v>0</v>
      </c>
    </row>
    <row r="184" spans="2:39" ht="15" customHeight="1" x14ac:dyDescent="0.3">
      <c r="B184" s="26"/>
      <c r="C184" s="27"/>
      <c r="D184" s="27"/>
      <c r="E184" s="27"/>
      <c r="F184" s="27"/>
      <c r="G184" s="27"/>
      <c r="H184" s="27"/>
      <c r="I184" s="27"/>
      <c r="J184" s="27"/>
      <c r="K184" s="29"/>
      <c r="L184" s="29"/>
      <c r="M184" s="27" t="str">
        <f>IF(AQ82="Yes",IF(AND(ISBLANK('From 2A.1 - Design'!$C$126),ISBLANK('From 2A.1 - Design'!$F$126)),Tables!$J$16,IF(AND($AR$87&gt;0,$AP$82=2),Tables!$J$16,"")),"")</f>
        <v/>
      </c>
      <c r="N184" s="29"/>
      <c r="O184" s="29"/>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8"/>
      <c r="AM184" s="90">
        <f t="shared" si="15"/>
        <v>0</v>
      </c>
    </row>
    <row r="185" spans="2:39" ht="15" customHeight="1" x14ac:dyDescent="0.3">
      <c r="B185" s="30"/>
      <c r="C185" s="31"/>
      <c r="D185" s="31"/>
      <c r="E185" s="31"/>
      <c r="F185" s="31"/>
      <c r="G185" s="31"/>
      <c r="H185" s="31"/>
      <c r="I185" s="31"/>
      <c r="J185" s="31"/>
      <c r="K185" s="112" t="s">
        <v>347</v>
      </c>
      <c r="L185" s="32"/>
      <c r="M185" s="113" t="str">
        <f>IF(AM127=7,Tables!J17,IF(AP127&gt;0,Tables!J17,0))</f>
        <v>All required photographs are not provided</v>
      </c>
      <c r="N185" s="32"/>
      <c r="O185" s="32"/>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3"/>
      <c r="AM185" s="90">
        <f t="shared" si="15"/>
        <v>1</v>
      </c>
    </row>
    <row r="186" spans="2:39" ht="15" customHeight="1" x14ac:dyDescent="0.3"/>
    <row r="187" spans="2:39" ht="15" customHeight="1" x14ac:dyDescent="0.3"/>
    <row r="188" spans="2:39" ht="15" customHeight="1" x14ac:dyDescent="0.3"/>
    <row r="189" spans="2:39" ht="15" customHeight="1" x14ac:dyDescent="0.3"/>
    <row r="190" spans="2:39" ht="15" customHeight="1" x14ac:dyDescent="0.3"/>
    <row r="191" spans="2:39" ht="15" customHeight="1" x14ac:dyDescent="0.3"/>
    <row r="192" spans="2:39" ht="15" customHeight="1" x14ac:dyDescent="0.3">
      <c r="B192" s="177">
        <f>Tables!$F$13</f>
        <v>45931</v>
      </c>
      <c r="C192" s="177"/>
      <c r="D192" s="177"/>
      <c r="E192" s="177"/>
      <c r="F192" s="177"/>
      <c r="G192" s="71"/>
      <c r="H192" s="71"/>
      <c r="I192" s="71"/>
      <c r="R192" s="4" t="s">
        <v>254</v>
      </c>
    </row>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hidden="1" customHeight="1" x14ac:dyDescent="0.3"/>
    <row r="200" ht="15" hidden="1" customHeight="1" x14ac:dyDescent="0.3"/>
    <row r="201" ht="15" hidden="1" customHeight="1" x14ac:dyDescent="0.3"/>
    <row r="202" ht="15" hidden="1" customHeight="1" x14ac:dyDescent="0.3"/>
    <row r="203" ht="15" hidden="1" customHeight="1" x14ac:dyDescent="0.3"/>
    <row r="204" ht="15" hidden="1" customHeight="1" x14ac:dyDescent="0.3"/>
    <row r="205" ht="15" hidden="1" customHeight="1" x14ac:dyDescent="0.3"/>
    <row r="206" ht="15" hidden="1" customHeight="1" x14ac:dyDescent="0.3"/>
    <row r="207" ht="15" hidden="1" customHeight="1" x14ac:dyDescent="0.3"/>
    <row r="208" ht="15" hidden="1" customHeight="1" x14ac:dyDescent="0.3"/>
    <row r="209" ht="15" hidden="1" customHeight="1" x14ac:dyDescent="0.3"/>
    <row r="210" ht="15" hidden="1" customHeight="1" x14ac:dyDescent="0.3"/>
    <row r="211" ht="15" hidden="1" customHeight="1" x14ac:dyDescent="0.3"/>
    <row r="212" ht="15" hidden="1" customHeight="1" x14ac:dyDescent="0.3"/>
    <row r="213" ht="15" hidden="1" customHeight="1" x14ac:dyDescent="0.3"/>
    <row r="214" ht="15" hidden="1" customHeight="1" x14ac:dyDescent="0.3"/>
    <row r="215" ht="15" hidden="1" customHeight="1" x14ac:dyDescent="0.3"/>
    <row r="216" ht="15" hidden="1" customHeight="1" x14ac:dyDescent="0.3"/>
    <row r="217" ht="15" hidden="1" customHeight="1" x14ac:dyDescent="0.3"/>
    <row r="218" ht="15" hidden="1" customHeight="1" x14ac:dyDescent="0.3"/>
    <row r="219" ht="15" hidden="1" customHeight="1" x14ac:dyDescent="0.3"/>
    <row r="220" ht="15" hidden="1" customHeight="1" x14ac:dyDescent="0.3"/>
    <row r="221" ht="15" hidden="1" customHeight="1" x14ac:dyDescent="0.3"/>
    <row r="222" ht="15" hidden="1" customHeight="1" x14ac:dyDescent="0.3"/>
    <row r="223" ht="15" hidden="1" customHeight="1" x14ac:dyDescent="0.3"/>
    <row r="224" ht="15" hidden="1" customHeight="1" x14ac:dyDescent="0.3"/>
    <row r="225" ht="15" hidden="1" customHeight="1" x14ac:dyDescent="0.3"/>
    <row r="226" ht="15" hidden="1" customHeight="1" x14ac:dyDescent="0.3"/>
    <row r="227" ht="15" hidden="1" customHeight="1" x14ac:dyDescent="0.3"/>
    <row r="228" ht="15" hidden="1" customHeight="1" x14ac:dyDescent="0.3"/>
    <row r="229" ht="15" hidden="1" customHeight="1" x14ac:dyDescent="0.3"/>
    <row r="230" ht="15" hidden="1" customHeight="1" x14ac:dyDescent="0.3"/>
    <row r="231" ht="15" hidden="1" customHeight="1" x14ac:dyDescent="0.3"/>
    <row r="232" ht="15" hidden="1" customHeight="1" x14ac:dyDescent="0.3"/>
  </sheetData>
  <sheetProtection algorithmName="SHA-512" hashValue="/h8H7f2UDdcBoLBLoW/jd7t3x0VJCESHHa85+XU+HcyF5lHHT7O6ESfgm/2piz0vfVAs/ko5K4hErtjb6nQHBA==" saltValue="FLnQN6jzxkRKpNEaZVNgBQ==" spinCount="100000" sheet="1" objects="1" scenarios="1" selectLockedCells="1"/>
  <mergeCells count="392">
    <mergeCell ref="I80:K80"/>
    <mergeCell ref="M80:O80"/>
    <mergeCell ref="I85:K85"/>
    <mergeCell ref="I84:K84"/>
    <mergeCell ref="I83:K83"/>
    <mergeCell ref="AD81:AF81"/>
    <mergeCell ref="AD80:AF80"/>
    <mergeCell ref="AE6:AK6"/>
    <mergeCell ref="C80:D80"/>
    <mergeCell ref="C81:D81"/>
    <mergeCell ref="W71:Y71"/>
    <mergeCell ref="AB71:AE71"/>
    <mergeCell ref="N70:Q70"/>
    <mergeCell ref="N71:Q71"/>
    <mergeCell ref="N72:Q72"/>
    <mergeCell ref="AD85:AF85"/>
    <mergeCell ref="AD84:AF84"/>
    <mergeCell ref="AD83:AF83"/>
    <mergeCell ref="C82:D82"/>
    <mergeCell ref="C83:D83"/>
    <mergeCell ref="C84:D84"/>
    <mergeCell ref="C85:D85"/>
    <mergeCell ref="Y83:AB83"/>
    <mergeCell ref="U82:W82"/>
    <mergeCell ref="C89:D89"/>
    <mergeCell ref="C88:D88"/>
    <mergeCell ref="Q84:S84"/>
    <mergeCell ref="Q83:S83"/>
    <mergeCell ref="Q87:S87"/>
    <mergeCell ref="Q89:S89"/>
    <mergeCell ref="Q88:S88"/>
    <mergeCell ref="Q85:S85"/>
    <mergeCell ref="U89:W89"/>
    <mergeCell ref="U88:W88"/>
    <mergeCell ref="U85:W85"/>
    <mergeCell ref="U87:W87"/>
    <mergeCell ref="M85:O85"/>
    <mergeCell ref="W69:Y69"/>
    <mergeCell ref="AB68:AE68"/>
    <mergeCell ref="U79:W79"/>
    <mergeCell ref="AD79:AF79"/>
    <mergeCell ref="AB70:AE70"/>
    <mergeCell ref="AH70:AK70"/>
    <mergeCell ref="AH71:AK71"/>
    <mergeCell ref="AH72:AK72"/>
    <mergeCell ref="AH67:AK67"/>
    <mergeCell ref="AH68:AK68"/>
    <mergeCell ref="AH69:AK69"/>
    <mergeCell ref="W72:Y72"/>
    <mergeCell ref="W73:Y73"/>
    <mergeCell ref="W74:Y74"/>
    <mergeCell ref="W75:Y75"/>
    <mergeCell ref="AB67:AE67"/>
    <mergeCell ref="AH75:AK75"/>
    <mergeCell ref="AB75:AE75"/>
    <mergeCell ref="AB72:AE72"/>
    <mergeCell ref="AB73:AE73"/>
    <mergeCell ref="AB74:AE74"/>
    <mergeCell ref="Z122:AC122"/>
    <mergeCell ref="AH122:AK122"/>
    <mergeCell ref="AH115:AK115"/>
    <mergeCell ref="F114:V114"/>
    <mergeCell ref="I89:K89"/>
    <mergeCell ref="M87:O87"/>
    <mergeCell ref="M93:O93"/>
    <mergeCell ref="M92:O92"/>
    <mergeCell ref="M91:O91"/>
    <mergeCell ref="M88:O88"/>
    <mergeCell ref="F122:V122"/>
    <mergeCell ref="F120:V120"/>
    <mergeCell ref="F117:V117"/>
    <mergeCell ref="F113:V113"/>
    <mergeCell ref="F116:V116"/>
    <mergeCell ref="F115:V115"/>
    <mergeCell ref="I88:K88"/>
    <mergeCell ref="AH82:AK82"/>
    <mergeCell ref="AH83:AK83"/>
    <mergeCell ref="U93:W93"/>
    <mergeCell ref="AH87:AK87"/>
    <mergeCell ref="Q93:S93"/>
    <mergeCell ref="AH88:AK88"/>
    <mergeCell ref="AH89:AK89"/>
    <mergeCell ref="AH90:AK90"/>
    <mergeCell ref="AH91:AK91"/>
    <mergeCell ref="Y91:AB91"/>
    <mergeCell ref="AD82:AF82"/>
    <mergeCell ref="U84:W84"/>
    <mergeCell ref="U83:W83"/>
    <mergeCell ref="Y82:AB82"/>
    <mergeCell ref="AE123:AK123"/>
    <mergeCell ref="AE124:AI124"/>
    <mergeCell ref="Q92:S92"/>
    <mergeCell ref="Q91:S91"/>
    <mergeCell ref="Q90:S90"/>
    <mergeCell ref="U92:W92"/>
    <mergeCell ref="U91:W91"/>
    <mergeCell ref="U90:W90"/>
    <mergeCell ref="AG99:AK99"/>
    <mergeCell ref="F121:V121"/>
    <mergeCell ref="AE117:AI117"/>
    <mergeCell ref="Y90:AB90"/>
    <mergeCell ref="AD93:AF93"/>
    <mergeCell ref="AD92:AF92"/>
    <mergeCell ref="AD91:AF91"/>
    <mergeCell ref="AD90:AF90"/>
    <mergeCell ref="AH92:AK92"/>
    <mergeCell ref="AH93:AK93"/>
    <mergeCell ref="D98:Z98"/>
    <mergeCell ref="AG98:AK98"/>
    <mergeCell ref="B101:AK110"/>
    <mergeCell ref="C90:D90"/>
    <mergeCell ref="C91:D91"/>
    <mergeCell ref="C92:D92"/>
    <mergeCell ref="C93:D93"/>
    <mergeCell ref="I93:K93"/>
    <mergeCell ref="I92:K92"/>
    <mergeCell ref="I91:K91"/>
    <mergeCell ref="I90:K90"/>
    <mergeCell ref="Y93:AB93"/>
    <mergeCell ref="Y92:AB92"/>
    <mergeCell ref="M90:O90"/>
    <mergeCell ref="E38:G38"/>
    <mergeCell ref="H63:K63"/>
    <mergeCell ref="H64:K64"/>
    <mergeCell ref="H65:K65"/>
    <mergeCell ref="H66:K66"/>
    <mergeCell ref="H67:K67"/>
    <mergeCell ref="H68:K68"/>
    <mergeCell ref="H69:K69"/>
    <mergeCell ref="I79:K79"/>
    <mergeCell ref="K58:M58"/>
    <mergeCell ref="Q58:S58"/>
    <mergeCell ref="C62:F62"/>
    <mergeCell ref="C68:E68"/>
    <mergeCell ref="C69:E69"/>
    <mergeCell ref="C76:E76"/>
    <mergeCell ref="AB69:AE69"/>
    <mergeCell ref="W27:Y27"/>
    <mergeCell ref="Q28:S28"/>
    <mergeCell ref="L16:N16"/>
    <mergeCell ref="L17:N17"/>
    <mergeCell ref="E27:G27"/>
    <mergeCell ref="E28:G28"/>
    <mergeCell ref="E29:G29"/>
    <mergeCell ref="M27:O27"/>
    <mergeCell ref="M28:O28"/>
    <mergeCell ref="I29:K29"/>
    <mergeCell ref="M29:O29"/>
    <mergeCell ref="I23:K23"/>
    <mergeCell ref="I27:K27"/>
    <mergeCell ref="E16:G16"/>
    <mergeCell ref="E22:G22"/>
    <mergeCell ref="E23:G23"/>
    <mergeCell ref="AI28:AK28"/>
    <mergeCell ref="AI31:AK31"/>
    <mergeCell ref="U1:AL4"/>
    <mergeCell ref="AV6:BI7"/>
    <mergeCell ref="BJ1:CB4"/>
    <mergeCell ref="AI22:AK22"/>
    <mergeCell ref="AI23:AK23"/>
    <mergeCell ref="AG55:AK55"/>
    <mergeCell ref="W30:Y30"/>
    <mergeCell ref="W31:Y31"/>
    <mergeCell ref="AA22:AC22"/>
    <mergeCell ref="AA23:AC23"/>
    <mergeCell ref="AA27:AC27"/>
    <mergeCell ref="AA28:AC28"/>
    <mergeCell ref="AA29:AC29"/>
    <mergeCell ref="AA30:AC30"/>
    <mergeCell ref="AA31:AC31"/>
    <mergeCell ref="V22:Y22"/>
    <mergeCell ref="V23:Y23"/>
    <mergeCell ref="R53:U53"/>
    <mergeCell ref="E7:Z7"/>
    <mergeCell ref="E8:Z8"/>
    <mergeCell ref="E14:H14"/>
    <mergeCell ref="L14:O14"/>
    <mergeCell ref="J43:M43"/>
    <mergeCell ref="J42:M42"/>
    <mergeCell ref="AE29:AG29"/>
    <mergeCell ref="W65:Y65"/>
    <mergeCell ref="W66:Y66"/>
    <mergeCell ref="E33:G33"/>
    <mergeCell ref="B53:F53"/>
    <mergeCell ref="O37:R37"/>
    <mergeCell ref="Q30:S30"/>
    <mergeCell ref="E37:H37"/>
    <mergeCell ref="E31:G31"/>
    <mergeCell ref="E32:G32"/>
    <mergeCell ref="AB64:AE64"/>
    <mergeCell ref="AE33:AG33"/>
    <mergeCell ref="X49:Y49"/>
    <mergeCell ref="AG54:AK54"/>
    <mergeCell ref="AB66:AE66"/>
    <mergeCell ref="D54:Z54"/>
    <mergeCell ref="C63:E63"/>
    <mergeCell ref="C66:E66"/>
    <mergeCell ref="I31:K31"/>
    <mergeCell ref="I32:K32"/>
    <mergeCell ref="I33:K33"/>
    <mergeCell ref="Q31:S31"/>
    <mergeCell ref="C67:E67"/>
    <mergeCell ref="AA46:AI46"/>
    <mergeCell ref="X47:Y47"/>
    <mergeCell ref="AE47:AF47"/>
    <mergeCell ref="H62:L62"/>
    <mergeCell ref="W64:Y64"/>
    <mergeCell ref="H46:P46"/>
    <mergeCell ref="E47:F47"/>
    <mergeCell ref="L47:M47"/>
    <mergeCell ref="E49:F49"/>
    <mergeCell ref="C64:E64"/>
    <mergeCell ref="C65:E65"/>
    <mergeCell ref="AH63:AK63"/>
    <mergeCell ref="AH64:AK64"/>
    <mergeCell ref="AH65:AK65"/>
    <mergeCell ref="AH66:AK66"/>
    <mergeCell ref="AI58:AK58"/>
    <mergeCell ref="AC58:AE58"/>
    <mergeCell ref="W67:Y67"/>
    <mergeCell ref="Q32:S32"/>
    <mergeCell ref="Q33:S33"/>
    <mergeCell ref="I22:K22"/>
    <mergeCell ref="Q27:S27"/>
    <mergeCell ref="E15:G15"/>
    <mergeCell ref="Q29:S29"/>
    <mergeCell ref="E17:G17"/>
    <mergeCell ref="Q22:S22"/>
    <mergeCell ref="Q23:S23"/>
    <mergeCell ref="E30:G30"/>
    <mergeCell ref="AI32:AK32"/>
    <mergeCell ref="AI33:AK33"/>
    <mergeCell ref="Y17:AA17"/>
    <mergeCell ref="AE31:AG31"/>
    <mergeCell ref="AE22:AG22"/>
    <mergeCell ref="AE23:AG23"/>
    <mergeCell ref="AH14:AK14"/>
    <mergeCell ref="AH16:AJ16"/>
    <mergeCell ref="AH17:AJ17"/>
    <mergeCell ref="Y14:AB14"/>
    <mergeCell ref="Y15:AA15"/>
    <mergeCell ref="W29:Y29"/>
    <mergeCell ref="AE27:AG27"/>
    <mergeCell ref="AE28:AG28"/>
    <mergeCell ref="AI30:AK30"/>
    <mergeCell ref="AE30:AG30"/>
    <mergeCell ref="Y16:AA16"/>
    <mergeCell ref="AE32:AG32"/>
    <mergeCell ref="W32:Y32"/>
    <mergeCell ref="W33:Y33"/>
    <mergeCell ref="AA32:AC32"/>
    <mergeCell ref="AA33:AC33"/>
    <mergeCell ref="W28:Y28"/>
    <mergeCell ref="AI27:AK27"/>
    <mergeCell ref="C70:E70"/>
    <mergeCell ref="H76:K76"/>
    <mergeCell ref="N74:Q74"/>
    <mergeCell ref="N75:Q75"/>
    <mergeCell ref="C72:E72"/>
    <mergeCell ref="H70:K70"/>
    <mergeCell ref="H71:K71"/>
    <mergeCell ref="H72:K72"/>
    <mergeCell ref="H73:K73"/>
    <mergeCell ref="H74:K74"/>
    <mergeCell ref="H75:K75"/>
    <mergeCell ref="C71:E71"/>
    <mergeCell ref="C73:E73"/>
    <mergeCell ref="C74:E74"/>
    <mergeCell ref="C75:E75"/>
    <mergeCell ref="N76:Q76"/>
    <mergeCell ref="B192:F192"/>
    <mergeCell ref="AF7:AK7"/>
    <mergeCell ref="AF8:AK8"/>
    <mergeCell ref="B97:F97"/>
    <mergeCell ref="R97:U97"/>
    <mergeCell ref="M30:O30"/>
    <mergeCell ref="M31:O31"/>
    <mergeCell ref="M32:O32"/>
    <mergeCell ref="M33:O33"/>
    <mergeCell ref="M22:O22"/>
    <mergeCell ref="M23:O23"/>
    <mergeCell ref="B27:D27"/>
    <mergeCell ref="B28:D28"/>
    <mergeCell ref="B29:D29"/>
    <mergeCell ref="B30:D30"/>
    <mergeCell ref="B31:D31"/>
    <mergeCell ref="B32:D32"/>
    <mergeCell ref="B33:D33"/>
    <mergeCell ref="I28:K28"/>
    <mergeCell ref="M82:O82"/>
    <mergeCell ref="M81:O81"/>
    <mergeCell ref="I30:K30"/>
    <mergeCell ref="E39:G39"/>
    <mergeCell ref="AF167:AK167"/>
    <mergeCell ref="X141:Y141"/>
    <mergeCell ref="AB141:AH141"/>
    <mergeCell ref="X131:Y131"/>
    <mergeCell ref="AB131:AH131"/>
    <mergeCell ref="X133:Y133"/>
    <mergeCell ref="AB133:AH133"/>
    <mergeCell ref="X135:Y135"/>
    <mergeCell ref="AB135:AH135"/>
    <mergeCell ref="X137:Y137"/>
    <mergeCell ref="AB137:AH137"/>
    <mergeCell ref="X139:Y139"/>
    <mergeCell ref="AB139:AH139"/>
    <mergeCell ref="B153:AK156"/>
    <mergeCell ref="AG150:AK150"/>
    <mergeCell ref="D149:Z149"/>
    <mergeCell ref="AG149:AK149"/>
    <mergeCell ref="B148:F148"/>
    <mergeCell ref="E163:I163"/>
    <mergeCell ref="AC165:AG165"/>
    <mergeCell ref="E158:Y158"/>
    <mergeCell ref="E159:Y159"/>
    <mergeCell ref="E160:Y160"/>
    <mergeCell ref="E161:K161"/>
    <mergeCell ref="O161:R161"/>
    <mergeCell ref="W161:Y161"/>
    <mergeCell ref="E162:Y162"/>
    <mergeCell ref="F123:V123"/>
    <mergeCell ref="F124:V124"/>
    <mergeCell ref="W127:Z127"/>
    <mergeCell ref="I82:K82"/>
    <mergeCell ref="I81:K81"/>
    <mergeCell ref="Y85:AB85"/>
    <mergeCell ref="Y88:AB88"/>
    <mergeCell ref="Y81:AB81"/>
    <mergeCell ref="M89:O89"/>
    <mergeCell ref="Y89:AB89"/>
    <mergeCell ref="Z115:AC115"/>
    <mergeCell ref="AB127:AH127"/>
    <mergeCell ref="AH81:AK81"/>
    <mergeCell ref="AD87:AF87"/>
    <mergeCell ref="AD89:AF89"/>
    <mergeCell ref="AD88:AF88"/>
    <mergeCell ref="AH84:AK84"/>
    <mergeCell ref="AH85:AK85"/>
    <mergeCell ref="Y84:AB84"/>
    <mergeCell ref="Y87:AB87"/>
    <mergeCell ref="I87:K87"/>
    <mergeCell ref="Q82:S82"/>
    <mergeCell ref="M84:O84"/>
    <mergeCell ref="M83:O83"/>
    <mergeCell ref="A12:AL12"/>
    <mergeCell ref="A35:AL35"/>
    <mergeCell ref="A41:AL41"/>
    <mergeCell ref="A45:AL45"/>
    <mergeCell ref="A57:AL57"/>
    <mergeCell ref="A60:AL60"/>
    <mergeCell ref="A78:AL78"/>
    <mergeCell ref="Q81:S81"/>
    <mergeCell ref="U81:W81"/>
    <mergeCell ref="W63:Y63"/>
    <mergeCell ref="N63:Q63"/>
    <mergeCell ref="N64:Q64"/>
    <mergeCell ref="N65:Q65"/>
    <mergeCell ref="N66:Q66"/>
    <mergeCell ref="N67:Q67"/>
    <mergeCell ref="N68:Q68"/>
    <mergeCell ref="N69:Q69"/>
    <mergeCell ref="Q79:S79"/>
    <mergeCell ref="W70:Y70"/>
    <mergeCell ref="Q80:S80"/>
    <mergeCell ref="U80:W80"/>
    <mergeCell ref="Y79:AB79"/>
    <mergeCell ref="M79:O79"/>
    <mergeCell ref="AI29:AK29"/>
    <mergeCell ref="AH80:AK80"/>
    <mergeCell ref="Y80:AB80"/>
    <mergeCell ref="AB76:AE76"/>
    <mergeCell ref="O39:Q39"/>
    <mergeCell ref="Y38:AA38"/>
    <mergeCell ref="Y39:AA39"/>
    <mergeCell ref="O38:Q38"/>
    <mergeCell ref="AH37:AK37"/>
    <mergeCell ref="AB65:AE65"/>
    <mergeCell ref="P61:Q61"/>
    <mergeCell ref="AI61:AJ61"/>
    <mergeCell ref="Y37:AB37"/>
    <mergeCell ref="AH38:AJ38"/>
    <mergeCell ref="AH39:AJ39"/>
    <mergeCell ref="AH73:AK73"/>
    <mergeCell ref="AH74:AK74"/>
    <mergeCell ref="AD42:AG42"/>
    <mergeCell ref="AD43:AG43"/>
    <mergeCell ref="AB63:AE63"/>
    <mergeCell ref="N73:Q73"/>
    <mergeCell ref="AH79:AK79"/>
    <mergeCell ref="W76:Y76"/>
    <mergeCell ref="AH76:AK76"/>
    <mergeCell ref="W68:Y68"/>
  </mergeCells>
  <conditionalFormatting sqref="B101:AK110">
    <cfRule type="expression" dxfId="106" priority="110">
      <formula>$AM$168&gt;0</formula>
    </cfRule>
    <cfRule type="cellIs" priority="109" stopIfTrue="1" operator="greaterThan">
      <formula>0</formula>
    </cfRule>
  </conditionalFormatting>
  <conditionalFormatting sqref="D54">
    <cfRule type="cellIs" dxfId="105" priority="118" operator="equal">
      <formula>0</formula>
    </cfRule>
  </conditionalFormatting>
  <conditionalFormatting sqref="D98">
    <cfRule type="cellIs" dxfId="104" priority="117" operator="equal">
      <formula>0</formula>
    </cfRule>
  </conditionalFormatting>
  <conditionalFormatting sqref="D129 F129 F113:F117">
    <cfRule type="expression" dxfId="103" priority="105">
      <formula>ISBLANK(D113)</formula>
    </cfRule>
  </conditionalFormatting>
  <conditionalFormatting sqref="D131 F131">
    <cfRule type="expression" dxfId="102" priority="80">
      <formula>ISBLANK(D131)</formula>
    </cfRule>
  </conditionalFormatting>
  <conditionalFormatting sqref="D133 F133">
    <cfRule type="expression" dxfId="101" priority="77">
      <formula>ISBLANK(D133)</formula>
    </cfRule>
  </conditionalFormatting>
  <conditionalFormatting sqref="D135 F135">
    <cfRule type="expression" dxfId="100" priority="74">
      <formula>ISBLANK(D135)</formula>
    </cfRule>
  </conditionalFormatting>
  <conditionalFormatting sqref="D137 F137">
    <cfRule type="expression" dxfId="99" priority="71">
      <formula>ISBLANK(D137)</formula>
    </cfRule>
  </conditionalFormatting>
  <conditionalFormatting sqref="D139 F139">
    <cfRule type="expression" dxfId="98" priority="56">
      <formula>ISBLANK(D139)</formula>
    </cfRule>
  </conditionalFormatting>
  <conditionalFormatting sqref="D141 F141">
    <cfRule type="expression" dxfId="97" priority="47">
      <formula>ISBLANK(D141)</formula>
    </cfRule>
  </conditionalFormatting>
  <conditionalFormatting sqref="D149">
    <cfRule type="cellIs" dxfId="96" priority="114" operator="equal">
      <formula>0</formula>
    </cfRule>
  </conditionalFormatting>
  <conditionalFormatting sqref="E7:E8 AF8 AG54:AG55 AG98:AG99 AG149:AG150">
    <cfRule type="cellIs" dxfId="95" priority="125" operator="equal">
      <formula>0</formula>
    </cfRule>
  </conditionalFormatting>
  <conditionalFormatting sqref="E47:E48">
    <cfRule type="expression" dxfId="94" priority="1444">
      <formula>#REF!</formula>
    </cfRule>
    <cfRule type="cellIs" priority="1443" stopIfTrue="1" operator="greaterThan">
      <formula>0</formula>
    </cfRule>
    <cfRule type="expression" priority="1442" stopIfTrue="1">
      <formula>$AL$58=2</formula>
    </cfRule>
  </conditionalFormatting>
  <conditionalFormatting sqref="E158:E159">
    <cfRule type="expression" dxfId="93" priority="53">
      <formula>ISBLANK(E158)</formula>
    </cfRule>
  </conditionalFormatting>
  <conditionalFormatting sqref="E160:Y160 E161:E163">
    <cfRule type="expression" dxfId="92" priority="51">
      <formula>ISBLANK(E160)</formula>
    </cfRule>
  </conditionalFormatting>
  <conditionalFormatting sqref="F120:F124 Z122 AH122 AE123:AE124">
    <cfRule type="expression" priority="134" stopIfTrue="1">
      <formula>$AN$119=2</formula>
    </cfRule>
  </conditionalFormatting>
  <conditionalFormatting sqref="F120:F124">
    <cfRule type="expression" dxfId="91" priority="254">
      <formula>ISBLANK(F120)</formula>
    </cfRule>
  </conditionalFormatting>
  <conditionalFormatting sqref="F129 D129">
    <cfRule type="expression" priority="104" stopIfTrue="1">
      <formula>$AM$129=2</formula>
    </cfRule>
  </conditionalFormatting>
  <conditionalFormatting sqref="F129">
    <cfRule type="expression" dxfId="90" priority="97">
      <formula>$AN$129=2</formula>
    </cfRule>
  </conditionalFormatting>
  <conditionalFormatting sqref="F131 D131">
    <cfRule type="expression" priority="79" stopIfTrue="1">
      <formula>$AM$131=2</formula>
    </cfRule>
  </conditionalFormatting>
  <conditionalFormatting sqref="F131">
    <cfRule type="expression" dxfId="89" priority="78">
      <formula>$AN$131=2</formula>
    </cfRule>
  </conditionalFormatting>
  <conditionalFormatting sqref="F133 D133">
    <cfRule type="expression" priority="76" stopIfTrue="1">
      <formula>$AM$133=2</formula>
    </cfRule>
  </conditionalFormatting>
  <conditionalFormatting sqref="F133">
    <cfRule type="expression" dxfId="88" priority="75">
      <formula>$AN$133=2</formula>
    </cfRule>
  </conditionalFormatting>
  <conditionalFormatting sqref="F135 D135">
    <cfRule type="expression" priority="73" stopIfTrue="1">
      <formula>$AM$135=2</formula>
    </cfRule>
  </conditionalFormatting>
  <conditionalFormatting sqref="F135">
    <cfRule type="expression" dxfId="87" priority="72">
      <formula>$AN$135=2</formula>
    </cfRule>
  </conditionalFormatting>
  <conditionalFormatting sqref="F137 D137">
    <cfRule type="expression" priority="70" stopIfTrue="1">
      <formula>$AM$137=2</formula>
    </cfRule>
  </conditionalFormatting>
  <conditionalFormatting sqref="F137">
    <cfRule type="expression" dxfId="86" priority="69">
      <formula>$AN$137=2</formula>
    </cfRule>
  </conditionalFormatting>
  <conditionalFormatting sqref="F139 D139">
    <cfRule type="expression" priority="55" stopIfTrue="1">
      <formula>$AM$139=2</formula>
    </cfRule>
  </conditionalFormatting>
  <conditionalFormatting sqref="F139">
    <cfRule type="expression" dxfId="85" priority="54">
      <formula>$AN$139=2</formula>
    </cfRule>
  </conditionalFormatting>
  <conditionalFormatting sqref="F141 D141">
    <cfRule type="expression" priority="46" stopIfTrue="1">
      <formula>$AM$141=2</formula>
    </cfRule>
  </conditionalFormatting>
  <conditionalFormatting sqref="F141">
    <cfRule type="expression" dxfId="84" priority="45">
      <formula>$AN$141=2</formula>
    </cfRule>
  </conditionalFormatting>
  <conditionalFormatting sqref="G10 N10 X10 AE10">
    <cfRule type="expression" dxfId="83" priority="131">
      <formula>ISBLANK(G10)</formula>
    </cfRule>
  </conditionalFormatting>
  <conditionalFormatting sqref="I88:I93">
    <cfRule type="expression" dxfId="82" priority="325" stopIfTrue="1">
      <formula>ISBLANK(I88)</formula>
    </cfRule>
    <cfRule type="cellIs" dxfId="81" priority="326" operator="notEqual">
      <formula>$I80</formula>
    </cfRule>
  </conditionalFormatting>
  <conditionalFormatting sqref="M49 P49">
    <cfRule type="expression" dxfId="80" priority="1399">
      <formula>#REF!=1</formula>
    </cfRule>
  </conditionalFormatting>
  <conditionalFormatting sqref="M88:M93">
    <cfRule type="expression" dxfId="79" priority="1325" stopIfTrue="1">
      <formula>ISBLANK(M88)</formula>
    </cfRule>
    <cfRule type="cellIs" dxfId="78" priority="1326" operator="notEqual">
      <formula>$M80</formula>
    </cfRule>
  </conditionalFormatting>
  <conditionalFormatting sqref="O161 W161">
    <cfRule type="expression" dxfId="77" priority="50">
      <formula>ISBLANK(O161)</formula>
    </cfRule>
  </conditionalFormatting>
  <conditionalFormatting sqref="P49">
    <cfRule type="expression" dxfId="76" priority="1401">
      <formula>#REF!=2</formula>
    </cfRule>
  </conditionalFormatting>
  <conditionalFormatting sqref="Q80:Q85 U80:U85 AD80:AD85">
    <cfRule type="expression" dxfId="75" priority="226">
      <formula>ISBLANK(Q80)</formula>
    </cfRule>
  </conditionalFormatting>
  <conditionalFormatting sqref="U88:U91">
    <cfRule type="cellIs" dxfId="74" priority="316" operator="greaterThan">
      <formula>$Y$39</formula>
    </cfRule>
  </conditionalFormatting>
  <conditionalFormatting sqref="U92">
    <cfRule type="expression" dxfId="73" priority="130">
      <formula>$AO$92&lt;1</formula>
    </cfRule>
  </conditionalFormatting>
  <conditionalFormatting sqref="U93">
    <cfRule type="expression" dxfId="72" priority="37">
      <formula>$AO$93&lt;1</formula>
    </cfRule>
  </conditionalFormatting>
  <conditionalFormatting sqref="W63">
    <cfRule type="cellIs" priority="321" operator="greaterThan">
      <formula>0</formula>
    </cfRule>
    <cfRule type="expression" dxfId="71" priority="322">
      <formula>ISBLANK($W$63)</formula>
    </cfRule>
  </conditionalFormatting>
  <conditionalFormatting sqref="X131 AB131">
    <cfRule type="cellIs" priority="67" stopIfTrue="1" operator="greaterThan">
      <formula>0</formula>
    </cfRule>
    <cfRule type="expression" dxfId="70" priority="68">
      <formula>$AO$131=2</formula>
    </cfRule>
  </conditionalFormatting>
  <conditionalFormatting sqref="X133 AB133">
    <cfRule type="cellIs" priority="65" stopIfTrue="1" operator="greaterThan">
      <formula>0</formula>
    </cfRule>
    <cfRule type="expression" dxfId="69" priority="66">
      <formula>$AO$133=2</formula>
    </cfRule>
  </conditionalFormatting>
  <conditionalFormatting sqref="X135 AB135">
    <cfRule type="cellIs" priority="63" stopIfTrue="1" operator="greaterThan">
      <formula>0</formula>
    </cfRule>
    <cfRule type="expression" dxfId="68" priority="64">
      <formula>$AO$135=2</formula>
    </cfRule>
  </conditionalFormatting>
  <conditionalFormatting sqref="X137 AB137">
    <cfRule type="expression" dxfId="67" priority="62">
      <formula>$AO$137=2</formula>
    </cfRule>
    <cfRule type="cellIs" priority="61" stopIfTrue="1" operator="greaterThan">
      <formula>0</formula>
    </cfRule>
  </conditionalFormatting>
  <conditionalFormatting sqref="X139 AB139">
    <cfRule type="cellIs" priority="43" stopIfTrue="1" operator="greaterThan">
      <formula>0</formula>
    </cfRule>
    <cfRule type="expression" dxfId="66" priority="44">
      <formula>$AO$139=2</formula>
    </cfRule>
  </conditionalFormatting>
  <conditionalFormatting sqref="X141 AB141">
    <cfRule type="expression" dxfId="65" priority="42">
      <formula>$AO$141=2</formula>
    </cfRule>
    <cfRule type="cellIs" priority="41" stopIfTrue="1" operator="greaterThan">
      <formula>0</formula>
    </cfRule>
  </conditionalFormatting>
  <conditionalFormatting sqref="Y14">
    <cfRule type="expression" dxfId="64" priority="201">
      <formula>ISBLANK(Y14)</formula>
    </cfRule>
  </conditionalFormatting>
  <conditionalFormatting sqref="Y15">
    <cfRule type="cellIs" priority="123" stopIfTrue="1" operator="greaterThan">
      <formula>0</formula>
    </cfRule>
    <cfRule type="expression" dxfId="63" priority="124">
      <formula>$AM$15=1</formula>
    </cfRule>
    <cfRule type="expression" priority="122" stopIfTrue="1">
      <formula>$AM$16=2</formula>
    </cfRule>
  </conditionalFormatting>
  <conditionalFormatting sqref="Y16 AH16 AK16">
    <cfRule type="expression" priority="119" stopIfTrue="1">
      <formula>$AM$15=2</formula>
    </cfRule>
    <cfRule type="expression" dxfId="62" priority="121">
      <formula>$AM$16</formula>
    </cfRule>
    <cfRule type="cellIs" priority="120" stopIfTrue="1" operator="greaterThan">
      <formula>0</formula>
    </cfRule>
  </conditionalFormatting>
  <conditionalFormatting sqref="Y17 AH17 AK17 V22:V23">
    <cfRule type="expression" dxfId="61" priority="199">
      <formula>ISBLANK(V17)</formula>
    </cfRule>
  </conditionalFormatting>
  <conditionalFormatting sqref="Y19 AC19">
    <cfRule type="expression" dxfId="60" priority="338">
      <formula>$AM$19=1</formula>
    </cfRule>
  </conditionalFormatting>
  <conditionalFormatting sqref="Y37:Y39 AH37:AH39">
    <cfRule type="expression" dxfId="59" priority="178">
      <formula>ISBLANK(Y37)</formula>
    </cfRule>
  </conditionalFormatting>
  <conditionalFormatting sqref="Y80:Y85 Y88:Y93 AD88:AD93">
    <cfRule type="cellIs" dxfId="58" priority="29" operator="greaterThan">
      <formula>$AP$78</formula>
    </cfRule>
  </conditionalFormatting>
  <conditionalFormatting sqref="Y80:Y85">
    <cfRule type="expression" dxfId="57" priority="28">
      <formula>ISBLANK(Y80)</formula>
    </cfRule>
  </conditionalFormatting>
  <conditionalFormatting sqref="Y88:Y93">
    <cfRule type="expression" dxfId="56" priority="27" stopIfTrue="1">
      <formula>ISBLANK(Y88)</formula>
    </cfRule>
  </conditionalFormatting>
  <conditionalFormatting sqref="Y119">
    <cfRule type="expression" priority="116" stopIfTrue="1">
      <formula>$AM$119=2</formula>
    </cfRule>
    <cfRule type="expression" dxfId="55" priority="137">
      <formula>ISBLANK(Y119)</formula>
    </cfRule>
  </conditionalFormatting>
  <conditionalFormatting sqref="Z122 AH122 AE123:AE124 M80:M85 Z115 AH115 AE117">
    <cfRule type="expression" dxfId="54" priority="227">
      <formula>ISBLANK(M80)</formula>
    </cfRule>
  </conditionalFormatting>
  <conditionalFormatting sqref="AA22 AI22">
    <cfRule type="expression" dxfId="53" priority="342">
      <formula>$AM$22=2</formula>
    </cfRule>
  </conditionalFormatting>
  <conditionalFormatting sqref="AA23 AI23">
    <cfRule type="expression" dxfId="52" priority="346">
      <formula>$AM$23=2</formula>
    </cfRule>
  </conditionalFormatting>
  <conditionalFormatting sqref="AA27 AH27:AI27">
    <cfRule type="expression" dxfId="51" priority="350">
      <formula>$AM$27=2</formula>
    </cfRule>
  </conditionalFormatting>
  <conditionalFormatting sqref="AA28 AH28:AI28">
    <cfRule type="expression" dxfId="50" priority="354">
      <formula>$AM$28=2</formula>
    </cfRule>
  </conditionalFormatting>
  <conditionalFormatting sqref="AA46:AI46 X47:Y47 AE47:AF47 X49:Y49">
    <cfRule type="expression" dxfId="49" priority="9">
      <formula>ISBLANK(X46)</formula>
    </cfRule>
  </conditionalFormatting>
  <conditionalFormatting sqref="AB38:AB39">
    <cfRule type="expression" dxfId="48" priority="206">
      <formula>ISBLANK(AB38)</formula>
    </cfRule>
  </conditionalFormatting>
  <conditionalFormatting sqref="AB63 AH63">
    <cfRule type="expression" dxfId="47" priority="378">
      <formula>$AO$63=2</formula>
    </cfRule>
  </conditionalFormatting>
  <conditionalFormatting sqref="AB63">
    <cfRule type="expression" priority="127" stopIfTrue="1">
      <formula>$AM$63=1</formula>
    </cfRule>
  </conditionalFormatting>
  <conditionalFormatting sqref="AB64 AH64">
    <cfRule type="expression" dxfId="46" priority="382">
      <formula>$AO$64=2</formula>
    </cfRule>
  </conditionalFormatting>
  <conditionalFormatting sqref="AB65 AH65">
    <cfRule type="expression" dxfId="45" priority="386">
      <formula>$AO$65=2</formula>
    </cfRule>
  </conditionalFormatting>
  <conditionalFormatting sqref="AB66 AH66">
    <cfRule type="expression" dxfId="44" priority="390">
      <formula>$AO$66=2</formula>
    </cfRule>
  </conditionalFormatting>
  <conditionalFormatting sqref="AB67 AH67">
    <cfRule type="expression" dxfId="43" priority="394">
      <formula>$AO$67=2</formula>
    </cfRule>
  </conditionalFormatting>
  <conditionalFormatting sqref="AB68 AH68">
    <cfRule type="expression" dxfId="42" priority="398">
      <formula>$AO$68=2</formula>
    </cfRule>
  </conditionalFormatting>
  <conditionalFormatting sqref="AB69 AH69">
    <cfRule type="expression" dxfId="41" priority="402">
      <formula>$AO$69=2</formula>
    </cfRule>
  </conditionalFormatting>
  <conditionalFormatting sqref="AB70">
    <cfRule type="expression" dxfId="40" priority="418">
      <formula>$AO$70=2</formula>
    </cfRule>
  </conditionalFormatting>
  <conditionalFormatting sqref="AB71">
    <cfRule type="expression" dxfId="39" priority="422">
      <formula>$AO$71=2</formula>
    </cfRule>
  </conditionalFormatting>
  <conditionalFormatting sqref="AB72">
    <cfRule type="expression" dxfId="38" priority="426">
      <formula>$AO$72=2</formula>
    </cfRule>
  </conditionalFormatting>
  <conditionalFormatting sqref="AB73 AH73">
    <cfRule type="expression" dxfId="37" priority="430">
      <formula>$AO$73=2</formula>
    </cfRule>
  </conditionalFormatting>
  <conditionalFormatting sqref="AB74 AH74">
    <cfRule type="expression" dxfId="36" priority="434">
      <formula>$AO$74=2</formula>
    </cfRule>
  </conditionalFormatting>
  <conditionalFormatting sqref="AB75 AH75">
    <cfRule type="expression" dxfId="35" priority="438">
      <formula>$AO$75=2</formula>
    </cfRule>
  </conditionalFormatting>
  <conditionalFormatting sqref="AB76 AH76">
    <cfRule type="expression" dxfId="34" priority="442">
      <formula>$AO$76=2</formula>
    </cfRule>
  </conditionalFormatting>
  <conditionalFormatting sqref="AC25 Y25">
    <cfRule type="expression" dxfId="33" priority="339">
      <formula>$AM$25=1</formula>
    </cfRule>
  </conditionalFormatting>
  <conditionalFormatting sqref="AC25">
    <cfRule type="expression" dxfId="32" priority="2">
      <formula>$AN$25=2</formula>
    </cfRule>
  </conditionalFormatting>
  <conditionalFormatting sqref="AC58">
    <cfRule type="expression" dxfId="31" priority="463">
      <formula>ISBLANK(AC58)</formula>
    </cfRule>
    <cfRule type="cellIs" dxfId="30" priority="464" operator="lessThan">
      <formula>$K58</formula>
    </cfRule>
  </conditionalFormatting>
  <conditionalFormatting sqref="AC165">
    <cfRule type="expression" dxfId="29" priority="52">
      <formula>ISBLANK(AC165)</formula>
    </cfRule>
  </conditionalFormatting>
  <conditionalFormatting sqref="AD42:AD43">
    <cfRule type="expression" dxfId="28" priority="221">
      <formula>ISBLANK(AD42)</formula>
    </cfRule>
  </conditionalFormatting>
  <conditionalFormatting sqref="AD80:AD85">
    <cfRule type="cellIs" dxfId="27" priority="1247" operator="greaterThan">
      <formula>$AP$78</formula>
    </cfRule>
  </conditionalFormatting>
  <conditionalFormatting sqref="AD88:AD93 Q88:Q93 U88:U93">
    <cfRule type="expression" dxfId="26" priority="36" stopIfTrue="1">
      <formula>ISBLANK(Q88)</formula>
    </cfRule>
  </conditionalFormatting>
  <conditionalFormatting sqref="AD42:AG42">
    <cfRule type="expression" dxfId="25" priority="31">
      <formula>$AR$42=3</formula>
    </cfRule>
  </conditionalFormatting>
  <conditionalFormatting sqref="AD43:AG43">
    <cfRule type="expression" dxfId="24" priority="30">
      <formula>$AR$43=3</formula>
    </cfRule>
  </conditionalFormatting>
  <conditionalFormatting sqref="AE6:AK6">
    <cfRule type="cellIs" dxfId="23" priority="1" operator="equal">
      <formula>0</formula>
    </cfRule>
  </conditionalFormatting>
  <conditionalFormatting sqref="AF7">
    <cfRule type="expression" dxfId="22" priority="107">
      <formula>ISBLANK(AF7)</formula>
    </cfRule>
  </conditionalFormatting>
  <conditionalFormatting sqref="AH14">
    <cfRule type="expression" dxfId="21" priority="200">
      <formula>ISBLANK(AH14)</formula>
    </cfRule>
  </conditionalFormatting>
  <conditionalFormatting sqref="AH63">
    <cfRule type="expression" priority="177" stopIfTrue="1">
      <formula>$AN$63=1</formula>
    </cfRule>
  </conditionalFormatting>
  <conditionalFormatting sqref="AH63:AH76 AB63:AB76 AA22:AA23 AI22:AI23">
    <cfRule type="cellIs" priority="341" stopIfTrue="1" operator="greaterThan">
      <formula>0</formula>
    </cfRule>
  </conditionalFormatting>
  <conditionalFormatting sqref="AH70">
    <cfRule type="expression" dxfId="20" priority="406">
      <formula>$AO$70=2</formula>
    </cfRule>
  </conditionalFormatting>
  <conditionalFormatting sqref="AH71">
    <cfRule type="expression" dxfId="19" priority="410">
      <formula>$AO$71=2</formula>
    </cfRule>
  </conditionalFormatting>
  <conditionalFormatting sqref="AH72">
    <cfRule type="expression" dxfId="18" priority="414">
      <formula>$AO$72=2</formula>
    </cfRule>
  </conditionalFormatting>
  <conditionalFormatting sqref="AH80:AH85">
    <cfRule type="expression" dxfId="17" priority="33">
      <formula>$AM80=1</formula>
    </cfRule>
    <cfRule type="expression" dxfId="16" priority="35">
      <formula>$AO80=1</formula>
    </cfRule>
    <cfRule type="expression" dxfId="15" priority="34">
      <formula>$AN80=1</formula>
    </cfRule>
  </conditionalFormatting>
  <conditionalFormatting sqref="AH88:AH93">
    <cfRule type="expression" dxfId="14" priority="216">
      <formula>AQ88=1</formula>
    </cfRule>
    <cfRule type="expression" dxfId="13" priority="32">
      <formula>ISBLANK(AH88)</formula>
    </cfRule>
    <cfRule type="expression" dxfId="12" priority="327">
      <formula>$AR88=1</formula>
    </cfRule>
    <cfRule type="cellIs" dxfId="11" priority="40" stopIfTrue="1" operator="greaterThan">
      <formula>$I88</formula>
    </cfRule>
  </conditionalFormatting>
  <conditionalFormatting sqref="AH27:AI28 AA27:AA33">
    <cfRule type="cellIs" priority="349" stopIfTrue="1" operator="greaterThan">
      <formula>0</formula>
    </cfRule>
  </conditionalFormatting>
  <conditionalFormatting sqref="AH30:AI30 AH31:AH33 AA30">
    <cfRule type="expression" dxfId="10" priority="362">
      <formula>$AM$30=2</formula>
    </cfRule>
  </conditionalFormatting>
  <conditionalFormatting sqref="AH30:AI33">
    <cfRule type="cellIs" priority="361" stopIfTrue="1" operator="greaterThan">
      <formula>0</formula>
    </cfRule>
  </conditionalFormatting>
  <conditionalFormatting sqref="AI29 AA29">
    <cfRule type="expression" dxfId="9" priority="358">
      <formula>$AM$29=2</formula>
    </cfRule>
  </conditionalFormatting>
  <conditionalFormatting sqref="AI29">
    <cfRule type="cellIs" priority="357" stopIfTrue="1" operator="greaterThan">
      <formula>0</formula>
    </cfRule>
  </conditionalFormatting>
  <conditionalFormatting sqref="AI31 AA31">
    <cfRule type="expression" dxfId="8" priority="368">
      <formula>$AM$31=2</formula>
    </cfRule>
  </conditionalFormatting>
  <conditionalFormatting sqref="AI32 AA32">
    <cfRule type="expression" dxfId="7" priority="372">
      <formula>$AM$32=2</formula>
    </cfRule>
  </conditionalFormatting>
  <conditionalFormatting sqref="AI33 AA33">
    <cfRule type="expression" dxfId="6" priority="376">
      <formula>$AM$33=2</formula>
    </cfRule>
  </conditionalFormatting>
  <conditionalFormatting sqref="AI49 AF49">
    <cfRule type="expression" dxfId="5" priority="8">
      <formula>$AN$49=1</formula>
    </cfRule>
  </conditionalFormatting>
  <conditionalFormatting sqref="AI49">
    <cfRule type="expression" dxfId="4" priority="7">
      <formula>$AO$49=2</formula>
    </cfRule>
  </conditionalFormatting>
  <conditionalFormatting sqref="AI61:AJ61">
    <cfRule type="expression" dxfId="3" priority="4">
      <formula>ISBLANK(AI61)</formula>
    </cfRule>
    <cfRule type="expression" dxfId="2" priority="3">
      <formula>$AM$61=1</formula>
    </cfRule>
  </conditionalFormatting>
  <conditionalFormatting sqref="AI58:AK58">
    <cfRule type="expression" dxfId="1" priority="108">
      <formula>ISBLANK(AI58)</formula>
    </cfRule>
  </conditionalFormatting>
  <conditionalFormatting sqref="AK38:AK39">
    <cfRule type="expression" dxfId="0" priority="205">
      <formula>ISBLANK(AK38)</formula>
    </cfRule>
  </conditionalFormatting>
  <dataValidations count="2">
    <dataValidation type="list" allowBlank="1" showInputMessage="1" showErrorMessage="1" sqref="AH37:AK37 AH14:AK14 V22:Y23 W27:Y33" xr:uid="{06087DCA-AA37-4BFE-8386-162360B92D36}">
      <formula1>Shape</formula1>
    </dataValidation>
    <dataValidation type="list" allowBlank="1" showInputMessage="1" showErrorMessage="1" sqref="Y14:AB14 Y37:AB37" xr:uid="{6D057CEB-A90F-4CE0-B4A3-EBB6EA20D27D}">
      <formula1>Material</formula1>
    </dataValidation>
  </dataValidations>
  <pageMargins left="0.2" right="0.2" top="0.5" bottom="0.25" header="0.3" footer="0.3"/>
  <pageSetup scale="99" orientation="portrait" r:id="rId1"/>
  <rowBreaks count="2" manualBreakCount="2">
    <brk id="53" max="16383" man="1"/>
    <brk id="97" max="16383" man="1"/>
  </rowBreaks>
  <colBreaks count="1" manualBreakCount="1">
    <brk id="46" max="1048575" man="1"/>
  </col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5811C8A-ECEE-4454-B380-9D2FF58D55E6}">
          <x14:formula1>
            <xm:f>Tables!$F$2:$F$7</xm:f>
          </x14:formula1>
          <xm:sqref>AA24:AD24 F34:I34 AA34:AD34</xm:sqref>
        </x14:dataValidation>
        <x14:dataValidation type="list" allowBlank="1" showInputMessage="1" showErrorMessage="1" xr:uid="{BE41E341-9C5E-44E7-A54D-C7661114123C}">
          <x14:formula1>
            <xm:f>Tables!$D$2:$D$10</xm:f>
          </x14:formula1>
          <xm:sqref>E14</xm:sqref>
        </x14:dataValidation>
        <x14:dataValidation type="list" allowBlank="1" showInputMessage="1" showErrorMessage="1" xr:uid="{867863CF-AA4D-40F3-9A7E-0F56E6285A11}">
          <x14:formula1>
            <xm:f>Tables!$H$9:$H$14</xm:f>
          </x14:formula1>
          <xm:sqref>AA46:AI46</xm:sqref>
        </x14:dataValidation>
        <x14:dataValidation type="custom" allowBlank="1" showInputMessage="1" showErrorMessage="1" errorTitle="Workbook Locked" error="On the Instruction Tab, accept the On the Instructions Tab, accept the conditions to use this form._x000a__x000a_                     OR_x000a__x000a_This form has expired.  Please obtain the latest version of this form." xr:uid="{40752809-8207-435E-A0D2-F751288A06ED}">
          <x14:formula1>
            <xm:f>Tables!$B$8</xm:f>
          </x14:formula1>
          <xm:sqref>AF7:AK7 G10 N10 X10 AE10 Y15:AA17 AH16:AJ17 AC19 Y19 AA22:AC23 AE22:AG23 AI22:AK23 Y25 AC25 AA27:AC33 AE27:AG33 AI27:AK33 Y38:AA39 AH38:AJ39 AD42:AG43 X47:Y47 X49:Y49 AE47:AF47 AF49 AI49 AC58:AE58 AI58:AK58 W63:Y76 AB63:AE76 AH63:AK76 I88:K93 M88:O93 Q88:S93 U88:W93 Y88:AB93 AD88:AF93 AH88:AK93 B101:AK110 F113:V117 F120:V124 Z115:AC115 AH115:AK115 AE117:AI117 Y119 Z122:AC122 AH122:AK122 AE123:AK123 AE124:AI124 D129 D131 D133 D135 D137 D139 D141 F141 F139 F137 F135 F133 F131 F129 X131:Y131 X133:Y133 X135:Y135 X137:Y137 X139:Y139 X141:Y141 AB141:AH141 AB139:AH139 AB137:AH137 AB135:AH135 AB133:AH133 AB131:AH131 E158:Y160 E161:K161 O161:R161 W161:Y161 E162:Y162 E163:I163 AC165:AG165</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C33DAAA7-BA78-4992-95C6-E37C47A465DB}">
          <x14:formula1>
            <xm:f>Tables!$B$8</xm:f>
          </x14:formula1>
          <xm:sqref>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License</vt:lpstr>
      <vt:lpstr>General Instructions</vt:lpstr>
      <vt:lpstr>From 2A.1 - Design</vt:lpstr>
      <vt:lpstr>Form 2A.2 - Design Attachment</vt:lpstr>
      <vt:lpstr>Form 3A - As-built</vt:lpstr>
      <vt:lpstr>Material</vt:lpstr>
      <vt:lpstr>'Form 2A.2 - Design Attachment'!Print_Area</vt:lpstr>
      <vt:lpstr>'Form 3A - As-built'!Print_Area</vt:lpstr>
      <vt:lpstr>'From 2A.1 - Design'!Print_Area</vt:lpstr>
      <vt:lpstr>'Form 2A.2 - Design Attachment'!Print_Titles</vt:lpstr>
      <vt:lpstr>'Form 3A - As-built'!Print_Titles</vt:lpstr>
      <vt:lpstr>'From 2A.1 - Design'!Print_Titles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2025-10-10T13:37:51Z</cp:lastPrinted>
  <dcterms:created xsi:type="dcterms:W3CDTF">2021-11-21T16:55:43Z</dcterms:created>
  <dcterms:modified xsi:type="dcterms:W3CDTF">2025-10-19T14:53:31Z</dcterms:modified>
</cp:coreProperties>
</file>